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5450" windowHeight="11700"/>
  </bookViews>
  <sheets>
    <sheet name="Часть 1" sheetId="1" r:id="rId1"/>
    <sheet name="Часть 2" sheetId="2" r:id="rId2"/>
    <sheet name="Часть 3" sheetId="3" r:id="rId3"/>
  </sheets>
  <definedNames>
    <definedName name="_xlnm.Print_Area" localSheetId="0">'Часть 1'!$A$1:$S$106</definedName>
    <definedName name="Перечень">#REF!</definedName>
    <definedName name="Перечень2">#REF!</definedName>
    <definedName name="Перечень3">#REF!</definedName>
  </definedNames>
  <calcPr calcId="145621"/>
</workbook>
</file>

<file path=xl/calcChain.xml><?xml version="1.0" encoding="utf-8"?>
<calcChain xmlns="http://schemas.openxmlformats.org/spreadsheetml/2006/main">
  <c r="B8" i="3" l="1"/>
  <c r="R92" i="2"/>
  <c r="P92" i="2"/>
  <c r="O92" i="2"/>
  <c r="N92" i="2"/>
  <c r="M92" i="2"/>
  <c r="L92" i="2"/>
  <c r="K92" i="2"/>
  <c r="J92" i="2"/>
  <c r="I92" i="2"/>
  <c r="H92" i="2"/>
  <c r="G92" i="2"/>
  <c r="F92" i="2"/>
  <c r="E92" i="2"/>
  <c r="C91" i="2"/>
  <c r="V90" i="2"/>
  <c r="U90" i="2"/>
  <c r="W90" i="2" s="1"/>
  <c r="D90" i="2"/>
  <c r="C90" i="2"/>
  <c r="V89" i="2"/>
  <c r="U89" i="2"/>
  <c r="W89" i="2"/>
  <c r="C89" i="2"/>
  <c r="V88" i="2"/>
  <c r="U88" i="2"/>
  <c r="W88" i="2"/>
  <c r="D88" i="2"/>
  <c r="C88" i="2"/>
  <c r="D87" i="2"/>
  <c r="C87" i="2"/>
  <c r="V86" i="2"/>
  <c r="U86" i="2"/>
  <c r="W86" i="2"/>
  <c r="C86" i="2"/>
  <c r="C85" i="2"/>
  <c r="V84" i="2"/>
  <c r="U84" i="2"/>
  <c r="W84" i="2"/>
  <c r="C84" i="2"/>
  <c r="V83" i="2"/>
  <c r="U83" i="2"/>
  <c r="W83" i="2"/>
  <c r="D83" i="2"/>
  <c r="C83" i="2"/>
  <c r="V82" i="2"/>
  <c r="U82" i="2"/>
  <c r="W82" i="2" s="1"/>
  <c r="C82" i="2"/>
  <c r="V81" i="2"/>
  <c r="U81" i="2"/>
  <c r="W81" i="2" s="1"/>
  <c r="C81" i="2"/>
  <c r="V80" i="2"/>
  <c r="U80" i="2"/>
  <c r="W80" i="2" s="1"/>
  <c r="C80" i="2"/>
  <c r="V79" i="2"/>
  <c r="U79" i="2"/>
  <c r="W79" i="2" s="1"/>
  <c r="C79" i="2"/>
  <c r="V78" i="2"/>
  <c r="U78" i="2"/>
  <c r="W78" i="2" s="1"/>
  <c r="D78" i="2"/>
  <c r="C78" i="2"/>
  <c r="V77" i="2"/>
  <c r="U77" i="2"/>
  <c r="W77" i="2" s="1"/>
  <c r="C77" i="2"/>
  <c r="V76" i="2"/>
  <c r="U76" i="2"/>
  <c r="W76" i="2" s="1"/>
  <c r="C76" i="2"/>
  <c r="V75" i="2"/>
  <c r="U75" i="2"/>
  <c r="W75" i="2" s="1"/>
  <c r="D75" i="2"/>
  <c r="C75" i="2"/>
  <c r="V74" i="2"/>
  <c r="W74" i="2" s="1"/>
  <c r="U74" i="2"/>
  <c r="C74" i="2"/>
  <c r="V73" i="2"/>
  <c r="W73" i="2" s="1"/>
  <c r="U73" i="2"/>
  <c r="C73" i="2"/>
  <c r="V72" i="2"/>
  <c r="W72" i="2" s="1"/>
  <c r="U72" i="2"/>
  <c r="C72" i="2"/>
  <c r="V71" i="2"/>
  <c r="W71" i="2" s="1"/>
  <c r="U71" i="2"/>
  <c r="C71" i="2"/>
  <c r="V70" i="2"/>
  <c r="W70" i="2" s="1"/>
  <c r="U70" i="2"/>
  <c r="C70" i="2"/>
  <c r="V69" i="2"/>
  <c r="W69" i="2" s="1"/>
  <c r="U69" i="2"/>
  <c r="C69" i="2"/>
  <c r="V68" i="2"/>
  <c r="W68" i="2" s="1"/>
  <c r="U68" i="2"/>
  <c r="D68" i="2"/>
  <c r="C68" i="2"/>
  <c r="V67" i="2"/>
  <c r="U67" i="2"/>
  <c r="W67" i="2"/>
  <c r="C67" i="2"/>
  <c r="C66" i="2"/>
  <c r="V65" i="2"/>
  <c r="U65" i="2"/>
  <c r="W65" i="2" s="1"/>
  <c r="C65" i="2"/>
  <c r="V64" i="2"/>
  <c r="U64" i="2"/>
  <c r="W64" i="2" s="1"/>
  <c r="C64" i="2"/>
  <c r="D63" i="2"/>
  <c r="C63" i="2"/>
  <c r="C62" i="2"/>
  <c r="V61" i="2"/>
  <c r="U61" i="2"/>
  <c r="W61" i="2"/>
  <c r="C61" i="2"/>
  <c r="V60" i="2"/>
  <c r="U60" i="2"/>
  <c r="W60" i="2"/>
  <c r="D60" i="2"/>
  <c r="C60" i="2"/>
  <c r="V59" i="2"/>
  <c r="U59" i="2"/>
  <c r="W59" i="2" s="1"/>
  <c r="C59" i="2"/>
  <c r="V58" i="2"/>
  <c r="U58" i="2"/>
  <c r="W58" i="2" s="1"/>
  <c r="D58" i="2"/>
  <c r="C58" i="2"/>
  <c r="V57" i="2"/>
  <c r="U57" i="2"/>
  <c r="W57" i="2" s="1"/>
  <c r="C57" i="2"/>
  <c r="V56" i="2"/>
  <c r="U56" i="2"/>
  <c r="W56" i="2" s="1"/>
  <c r="C56" i="2"/>
  <c r="V55" i="2"/>
  <c r="U55" i="2"/>
  <c r="W55" i="2" s="1"/>
  <c r="C55" i="2"/>
  <c r="V54" i="2"/>
  <c r="U54" i="2"/>
  <c r="W54" i="2" s="1"/>
  <c r="Q54" i="2"/>
  <c r="Q92" i="2"/>
  <c r="C54" i="2"/>
  <c r="V53" i="2"/>
  <c r="U53" i="2"/>
  <c r="W53" i="2"/>
  <c r="C53" i="2"/>
  <c r="V52" i="2"/>
  <c r="U52" i="2"/>
  <c r="W52" i="2"/>
  <c r="C52" i="2"/>
  <c r="V51" i="2"/>
  <c r="U51" i="2"/>
  <c r="W51" i="2"/>
  <c r="C51" i="2"/>
  <c r="V50" i="2"/>
  <c r="U50" i="2"/>
  <c r="W50" i="2"/>
  <c r="C50" i="2"/>
  <c r="V49" i="2"/>
  <c r="U49" i="2"/>
  <c r="W49" i="2"/>
  <c r="C49" i="2"/>
  <c r="V48" i="2"/>
  <c r="U48" i="2"/>
  <c r="W48" i="2"/>
  <c r="D48" i="2"/>
  <c r="C48" i="2"/>
  <c r="V47" i="2"/>
  <c r="U47" i="2"/>
  <c r="W47" i="2" s="1"/>
  <c r="C47" i="2"/>
  <c r="V46" i="2"/>
  <c r="U46" i="2"/>
  <c r="W46" i="2" s="1"/>
  <c r="C46" i="2"/>
  <c r="V45" i="2"/>
  <c r="U45" i="2"/>
  <c r="W45" i="2" s="1"/>
  <c r="C45" i="2"/>
  <c r="V44" i="2"/>
  <c r="U44" i="2"/>
  <c r="W44" i="2" s="1"/>
  <c r="C44" i="2"/>
  <c r="V43" i="2"/>
  <c r="U43" i="2"/>
  <c r="W43" i="2" s="1"/>
  <c r="C43" i="2"/>
  <c r="V42" i="2"/>
  <c r="U42" i="2"/>
  <c r="W42" i="2" s="1"/>
  <c r="C42" i="2"/>
  <c r="V41" i="2"/>
  <c r="U41" i="2"/>
  <c r="W41" i="2" s="1"/>
  <c r="C41" i="2"/>
  <c r="V40" i="2"/>
  <c r="U40" i="2"/>
  <c r="W40" i="2" s="1"/>
  <c r="C40" i="2"/>
  <c r="V39" i="2"/>
  <c r="U39" i="2"/>
  <c r="W39" i="2" s="1"/>
  <c r="C39" i="2"/>
  <c r="V38" i="2"/>
  <c r="U38" i="2"/>
  <c r="W38" i="2" s="1"/>
  <c r="C38" i="2"/>
  <c r="V37" i="2"/>
  <c r="U37" i="2"/>
  <c r="W37" i="2" s="1"/>
  <c r="C37" i="2"/>
  <c r="V36" i="2"/>
  <c r="U36" i="2"/>
  <c r="W36" i="2" s="1"/>
  <c r="C36" i="2"/>
  <c r="V35" i="2"/>
  <c r="U35" i="2"/>
  <c r="W35" i="2" s="1"/>
  <c r="C35" i="2"/>
  <c r="V34" i="2"/>
  <c r="U34" i="2"/>
  <c r="W34" i="2" s="1"/>
  <c r="C34" i="2"/>
  <c r="V33" i="2"/>
  <c r="U33" i="2"/>
  <c r="W33" i="2" s="1"/>
  <c r="C33" i="2"/>
  <c r="V32" i="2"/>
  <c r="U32" i="2"/>
  <c r="W32" i="2" s="1"/>
  <c r="C32" i="2"/>
  <c r="V31" i="2"/>
  <c r="U31" i="2"/>
  <c r="W31" i="2" s="1"/>
  <c r="C31" i="2"/>
  <c r="V30" i="2"/>
  <c r="U30" i="2"/>
  <c r="W30" i="2" s="1"/>
  <c r="D30" i="2"/>
  <c r="C30" i="2"/>
  <c r="V29" i="2"/>
  <c r="U29" i="2"/>
  <c r="W29" i="2"/>
  <c r="D29" i="2"/>
  <c r="C29" i="2"/>
  <c r="V28" i="2"/>
  <c r="U28" i="2"/>
  <c r="W28" i="2" s="1"/>
  <c r="C28" i="2"/>
  <c r="V27" i="2"/>
  <c r="U27" i="2"/>
  <c r="W27" i="2" s="1"/>
  <c r="C27" i="2"/>
  <c r="V26" i="2"/>
  <c r="U26" i="2"/>
  <c r="W26" i="2" s="1"/>
  <c r="C26" i="2"/>
  <c r="V25" i="2"/>
  <c r="U25" i="2"/>
  <c r="W25" i="2" s="1"/>
  <c r="C25" i="2"/>
  <c r="V24" i="2"/>
  <c r="U24" i="2"/>
  <c r="W24" i="2" s="1"/>
  <c r="C24" i="2"/>
  <c r="V23" i="2"/>
  <c r="U23" i="2"/>
  <c r="W23" i="2" s="1"/>
  <c r="D23" i="2"/>
  <c r="C23" i="2"/>
  <c r="V22" i="2"/>
  <c r="U22" i="2"/>
  <c r="W22" i="2"/>
  <c r="D22" i="2"/>
  <c r="C22" i="2"/>
  <c r="V21" i="2"/>
  <c r="U21" i="2"/>
  <c r="W21" i="2" s="1"/>
  <c r="C21" i="2"/>
  <c r="V20" i="2"/>
  <c r="U20" i="2"/>
  <c r="W20" i="2" s="1"/>
  <c r="C20" i="2"/>
  <c r="V19" i="2"/>
  <c r="U19" i="2"/>
  <c r="W19" i="2" s="1"/>
  <c r="D19" i="2"/>
  <c r="C19" i="2"/>
  <c r="V18" i="2"/>
  <c r="W18" i="2" s="1"/>
  <c r="U18" i="2"/>
  <c r="D18" i="2"/>
  <c r="C18" i="2"/>
  <c r="V17" i="2"/>
  <c r="U17" i="2"/>
  <c r="W17" i="2" s="1"/>
  <c r="C17" i="2"/>
  <c r="V16" i="2"/>
  <c r="U16" i="2"/>
  <c r="W16" i="2" s="1"/>
  <c r="D16" i="2"/>
  <c r="C16" i="2"/>
  <c r="V15" i="2"/>
  <c r="U15" i="2"/>
  <c r="W15" i="2"/>
  <c r="C15" i="2"/>
  <c r="V14" i="2"/>
  <c r="U14" i="2"/>
  <c r="W14" i="2"/>
  <c r="D14" i="2"/>
  <c r="C14" i="2"/>
  <c r="V13" i="2"/>
  <c r="U13" i="2"/>
  <c r="W13" i="2" s="1"/>
  <c r="C13" i="2"/>
  <c r="V12" i="2"/>
  <c r="U12" i="2"/>
  <c r="W12" i="2" s="1"/>
  <c r="D12" i="2"/>
  <c r="D92" i="2" s="1"/>
  <c r="C12" i="2"/>
  <c r="V11" i="2"/>
  <c r="U11" i="2"/>
  <c r="W11" i="2" s="1"/>
  <c r="C11" i="2"/>
  <c r="C92" i="2" s="1"/>
  <c r="V10" i="2"/>
  <c r="V7" i="2" s="1"/>
  <c r="V92" i="2"/>
  <c r="U10" i="2"/>
  <c r="U92" i="2"/>
  <c r="C10" i="2"/>
  <c r="U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C7" i="2"/>
  <c r="W10" i="2"/>
  <c r="W7" i="2" s="1"/>
  <c r="W92" i="2"/>
  <c r="P94" i="1"/>
  <c r="I95" i="1"/>
  <c r="I11" i="1"/>
  <c r="K95" i="1"/>
  <c r="L95" i="1"/>
  <c r="M95" i="1"/>
  <c r="H95" i="1"/>
  <c r="Q94" i="1"/>
  <c r="O94" i="1"/>
  <c r="J66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2" i="1"/>
  <c r="P93" i="1"/>
  <c r="P13" i="1"/>
  <c r="H11" i="1"/>
  <c r="K11" i="1"/>
  <c r="M11" i="1"/>
  <c r="N11" i="1"/>
  <c r="O91" i="1"/>
  <c r="J91" i="1"/>
  <c r="O77" i="1"/>
  <c r="J77" i="1"/>
  <c r="O72" i="1"/>
  <c r="J72" i="1"/>
  <c r="Q57" i="1"/>
  <c r="O57" i="1"/>
  <c r="J57" i="1"/>
  <c r="O13" i="1"/>
  <c r="O14" i="1"/>
  <c r="O15" i="1"/>
  <c r="O79" i="1"/>
  <c r="O16" i="1"/>
  <c r="O58" i="1"/>
  <c r="O80" i="1"/>
  <c r="O17" i="1"/>
  <c r="O18" i="1"/>
  <c r="O81" i="1"/>
  <c r="O19" i="1"/>
  <c r="O20" i="1"/>
  <c r="O21" i="1"/>
  <c r="O59" i="1"/>
  <c r="O22" i="1"/>
  <c r="O89" i="1"/>
  <c r="O23" i="1"/>
  <c r="O24" i="1"/>
  <c r="O25" i="1"/>
  <c r="O26" i="1"/>
  <c r="O27" i="1"/>
  <c r="O82" i="1"/>
  <c r="O83" i="1"/>
  <c r="O28" i="1"/>
  <c r="O29" i="1"/>
  <c r="O30" i="1"/>
  <c r="O31" i="1"/>
  <c r="O32" i="1"/>
  <c r="O33" i="1"/>
  <c r="O60" i="1"/>
  <c r="O34" i="1"/>
  <c r="O35" i="1"/>
  <c r="O36" i="1"/>
  <c r="O37" i="1"/>
  <c r="O70" i="1"/>
  <c r="O38" i="1"/>
  <c r="O39" i="1"/>
  <c r="O92" i="1"/>
  <c r="O40" i="1"/>
  <c r="O41" i="1"/>
  <c r="O61" i="1"/>
  <c r="O62" i="1"/>
  <c r="O63" i="1"/>
  <c r="O64" i="1"/>
  <c r="O93" i="1"/>
  <c r="O42" i="1"/>
  <c r="O65" i="1"/>
  <c r="O43" i="1"/>
  <c r="O44" i="1"/>
  <c r="O76" i="1"/>
  <c r="O66" i="1"/>
  <c r="O87" i="1"/>
  <c r="O84" i="1"/>
  <c r="O85" i="1"/>
  <c r="O45" i="1"/>
  <c r="O46" i="1"/>
  <c r="O47" i="1"/>
  <c r="O48" i="1"/>
  <c r="O49" i="1"/>
  <c r="O50" i="1"/>
  <c r="O51" i="1"/>
  <c r="O86" i="1"/>
  <c r="O75" i="1"/>
  <c r="O74" i="1"/>
  <c r="O88" i="1"/>
  <c r="O67" i="1"/>
  <c r="O52" i="1"/>
  <c r="O68" i="1"/>
  <c r="O73" i="1"/>
  <c r="O71" i="1"/>
  <c r="O69" i="1"/>
  <c r="O53" i="1"/>
  <c r="O90" i="1"/>
  <c r="O54" i="1"/>
  <c r="O55" i="1"/>
  <c r="O78" i="1"/>
  <c r="O56" i="1"/>
  <c r="Q79" i="1"/>
  <c r="Q89" i="1"/>
  <c r="Q83" i="1"/>
  <c r="Q92" i="1"/>
  <c r="Q93" i="1"/>
  <c r="Q66" i="1"/>
  <c r="Q86" i="1"/>
  <c r="Q75" i="1"/>
  <c r="Q74" i="1"/>
  <c r="Q88" i="1"/>
  <c r="Q67" i="1"/>
  <c r="Q71" i="1"/>
  <c r="Q90" i="1"/>
  <c r="Q54" i="1"/>
  <c r="Q78" i="1"/>
  <c r="Q56" i="1"/>
  <c r="J31" i="1"/>
  <c r="J20" i="1"/>
  <c r="J43" i="1"/>
  <c r="J44" i="1"/>
  <c r="J13" i="1"/>
  <c r="J14" i="1"/>
  <c r="J15" i="1"/>
  <c r="J79" i="1"/>
  <c r="J16" i="1"/>
  <c r="J58" i="1"/>
  <c r="J80" i="1"/>
  <c r="J17" i="1"/>
  <c r="J18" i="1"/>
  <c r="J81" i="1"/>
  <c r="J19" i="1"/>
  <c r="J21" i="1"/>
  <c r="J59" i="1"/>
  <c r="J22" i="1"/>
  <c r="J89" i="1"/>
  <c r="J23" i="1"/>
  <c r="J24" i="1"/>
  <c r="J25" i="1"/>
  <c r="J26" i="1"/>
  <c r="J27" i="1"/>
  <c r="J82" i="1"/>
  <c r="J83" i="1"/>
  <c r="J28" i="1"/>
  <c r="J29" i="1"/>
  <c r="J30" i="1"/>
  <c r="J32" i="1"/>
  <c r="J33" i="1"/>
  <c r="J60" i="1"/>
  <c r="J34" i="1"/>
  <c r="J35" i="1"/>
  <c r="J36" i="1"/>
  <c r="J37" i="1"/>
  <c r="J70" i="1"/>
  <c r="J38" i="1"/>
  <c r="J39" i="1"/>
  <c r="J92" i="1"/>
  <c r="J40" i="1"/>
  <c r="J41" i="1"/>
  <c r="J61" i="1"/>
  <c r="J62" i="1"/>
  <c r="J63" i="1"/>
  <c r="J64" i="1"/>
  <c r="J93" i="1"/>
  <c r="J42" i="1"/>
  <c r="J65" i="1"/>
  <c r="J76" i="1"/>
  <c r="J87" i="1"/>
  <c r="J84" i="1"/>
  <c r="J85" i="1"/>
  <c r="J45" i="1"/>
  <c r="J46" i="1"/>
  <c r="J47" i="1"/>
  <c r="J48" i="1"/>
  <c r="J49" i="1"/>
  <c r="J50" i="1"/>
  <c r="J51" i="1"/>
  <c r="J86" i="1"/>
  <c r="J75" i="1"/>
  <c r="J74" i="1"/>
  <c r="J88" i="1"/>
  <c r="J67" i="1"/>
  <c r="J52" i="1"/>
  <c r="J68" i="1"/>
  <c r="J73" i="1"/>
  <c r="J71" i="1"/>
  <c r="J69" i="1"/>
  <c r="J53" i="1"/>
  <c r="J90" i="1"/>
  <c r="J54" i="1"/>
  <c r="J55" i="1"/>
  <c r="J78" i="1"/>
  <c r="J56" i="1"/>
  <c r="J95" i="1"/>
  <c r="J11" i="1" s="1"/>
  <c r="O11" i="1"/>
  <c r="Q50" i="1"/>
  <c r="Q53" i="1"/>
  <c r="Q14" i="1"/>
  <c r="Q58" i="1"/>
  <c r="Q20" i="1"/>
  <c r="Q24" i="1"/>
  <c r="Q34" i="1"/>
  <c r="Q36" i="1"/>
  <c r="Q40" i="1"/>
  <c r="Q44" i="1"/>
  <c r="Q52" i="1"/>
  <c r="Q73" i="1"/>
  <c r="Q69" i="1"/>
  <c r="Q55" i="1"/>
  <c r="Q84" i="1"/>
  <c r="Q81" i="1"/>
  <c r="Q72" i="1"/>
  <c r="Q70" i="1"/>
  <c r="Q65" i="1"/>
  <c r="Q63" i="1"/>
  <c r="Q61" i="1"/>
  <c r="Q59" i="1"/>
  <c r="Q51" i="1"/>
  <c r="Q49" i="1"/>
  <c r="Q47" i="1"/>
  <c r="Q45" i="1"/>
  <c r="Q39" i="1"/>
  <c r="Q33" i="1"/>
  <c r="Q31" i="1"/>
  <c r="Q29" i="1"/>
  <c r="Q27" i="1"/>
  <c r="Q25" i="1"/>
  <c r="Q17" i="1"/>
  <c r="Q13" i="1"/>
  <c r="Q77" i="1"/>
  <c r="Q15" i="1"/>
  <c r="Q16" i="1"/>
  <c r="Q80" i="1"/>
  <c r="Q18" i="1"/>
  <c r="Q19" i="1"/>
  <c r="Q21" i="1"/>
  <c r="Q22" i="1"/>
  <c r="Q23" i="1"/>
  <c r="Q26" i="1"/>
  <c r="Q82" i="1"/>
  <c r="Q28" i="1"/>
  <c r="Q30" i="1"/>
  <c r="Q32" i="1"/>
  <c r="Q60" i="1"/>
  <c r="Q35" i="1"/>
  <c r="Q37" i="1"/>
  <c r="Q38" i="1"/>
  <c r="Q41" i="1"/>
  <c r="Q62" i="1"/>
  <c r="Q64" i="1"/>
  <c r="Q42" i="1"/>
  <c r="Q43" i="1"/>
  <c r="Q76" i="1"/>
  <c r="Q87" i="1"/>
  <c r="Q85" i="1"/>
  <c r="Q46" i="1"/>
  <c r="Q48" i="1"/>
  <c r="Q68" i="1"/>
  <c r="Q91" i="1"/>
  <c r="L11" i="1"/>
  <c r="P91" i="1"/>
  <c r="P95" i="1" s="1"/>
  <c r="P11" i="1" s="1"/>
  <c r="D7" i="2" l="1"/>
</calcChain>
</file>

<file path=xl/sharedStrings.xml><?xml version="1.0" encoding="utf-8"?>
<sst xmlns="http://schemas.openxmlformats.org/spreadsheetml/2006/main" count="479" uniqueCount="170">
  <si>
    <t>№ п/п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</si>
  <si>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</si>
  <si>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</si>
  <si>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</si>
  <si>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</si>
  <si>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</si>
  <si>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</si>
  <si>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</si>
  <si>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</si>
  <si>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</si>
  <si>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</si>
  <si>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</si>
  <si>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</si>
  <si>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</si>
  <si>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</si>
  <si>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</si>
  <si>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</si>
  <si>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</si>
  <si>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</si>
  <si>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</si>
  <si>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</si>
  <si>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</si>
  <si>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</t>
  </si>
  <si>
    <t>руб./кв.м</t>
  </si>
  <si>
    <t>за счет средств Фонда*</t>
  </si>
  <si>
    <t>Адрес многоквартирного дома (далее - МКД)</t>
  </si>
  <si>
    <t>панели</t>
  </si>
  <si>
    <t>кирпич</t>
  </si>
  <si>
    <t>х</t>
  </si>
  <si>
    <t>до 1917</t>
  </si>
  <si>
    <t>блоки</t>
  </si>
  <si>
    <t>12.2015</t>
  </si>
  <si>
    <t>И.В. Куринный</t>
  </si>
  <si>
    <t>Согласовано:</t>
  </si>
  <si>
    <t>Заместитель начальника Главного управления</t>
  </si>
  <si>
    <t>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город Тверь на 2015 год с определением  видов и объемов финансирования работ по капитальному ремонту</t>
  </si>
  <si>
    <t>На счете некоммерческой организации "Фонд капитального ремонта многоквартирных домов Тверской области" (далее - региональный оператор)</t>
  </si>
  <si>
    <t>ИТОГО:</t>
  </si>
  <si>
    <t xml:space="preserve">Начальник департамента жилищно-коммунального хозяйства                                                                                       </t>
  </si>
  <si>
    <t xml:space="preserve">и жилищной политики администрации города Твери                                                                                       </t>
  </si>
  <si>
    <t>бульвар Шмидта,  дом 47</t>
  </si>
  <si>
    <t>улица Горького,  дом 15</t>
  </si>
  <si>
    <t>улица Горького,  дом 19</t>
  </si>
  <si>
    <t>улица Бобкова,  дом 10</t>
  </si>
  <si>
    <t>улица Бобкова,  дом 23</t>
  </si>
  <si>
    <t>улица Бобкова,  дом  24</t>
  </si>
  <si>
    <t>улица Бобкова,  дом  32</t>
  </si>
  <si>
    <t>улица Бобкова, дом 26, корпус 8</t>
  </si>
  <si>
    <t>улица Железнодорожников, дом 52</t>
  </si>
  <si>
    <t>улица Константина Заслонова, дом 7</t>
  </si>
  <si>
    <t>бульвар Профсоюзов,  дом  4</t>
  </si>
  <si>
    <t>проспект 50 лет Октября, дом 8</t>
  </si>
  <si>
    <t>проспект 50 лет Октября,  дом 20А</t>
  </si>
  <si>
    <t>улица Громова, дом 7, корпус 1</t>
  </si>
  <si>
    <t>улица Евгения Пичугина, дом 54</t>
  </si>
  <si>
    <t>улица Евгения Пичугина, дом 56</t>
  </si>
  <si>
    <t>проспект 50 лет Октября, дом  40</t>
  </si>
  <si>
    <t>улица Резинстроя, дом 6</t>
  </si>
  <si>
    <t>улица Советская, дом  41</t>
  </si>
  <si>
    <t>улица Склизкова,  дом 38</t>
  </si>
  <si>
    <t>проспект Победы,  дом 23</t>
  </si>
  <si>
    <t>проспект Победы, дом 42</t>
  </si>
  <si>
    <t>проспект Победы, дом 42А</t>
  </si>
  <si>
    <t>проспект Победы, дом 61</t>
  </si>
  <si>
    <t>проспект Победы, дом 74</t>
  </si>
  <si>
    <t>проспект Победы,  дом 86</t>
  </si>
  <si>
    <t>улица Московская, дом 24, корпус 1</t>
  </si>
  <si>
    <t>улица Московская, дом 24, корпус 2</t>
  </si>
  <si>
    <t>улица Московская, дом 114</t>
  </si>
  <si>
    <t xml:space="preserve"> поселок Химинститута, дом 6</t>
  </si>
  <si>
    <t>поселок Химинститута,  дом 11</t>
  </si>
  <si>
    <t>поселок Химинститута,  дом 12</t>
  </si>
  <si>
    <t>поселок Химинститута,  дом 20</t>
  </si>
  <si>
    <t>поселок Химинститута,  дом 40</t>
  </si>
  <si>
    <t>улица Бобкова,  дом 28, корпус 1</t>
  </si>
  <si>
    <t>бульвар Гусева,  дом 16</t>
  </si>
  <si>
    <t>поселок Химинститута,  дом 17</t>
  </si>
  <si>
    <t>улица Евгения Пичугина, дом 50/34</t>
  </si>
  <si>
    <t>улица Евгения Пичугина, дом 52</t>
  </si>
  <si>
    <t>проспект 50 лет Октября, дом 44А</t>
  </si>
  <si>
    <t>улица Орджоникидзе,  дом 46, корпус 3</t>
  </si>
  <si>
    <t>бульвар Шмидта,  дом 49 корпус 2</t>
  </si>
  <si>
    <t>улица Московская,  дом 76</t>
  </si>
  <si>
    <t>поселок Химинститута,  дом 38</t>
  </si>
  <si>
    <t>улица Горького,  дом  88А</t>
  </si>
  <si>
    <t>проспект 50 лет Октября,  дом 2/19</t>
  </si>
  <si>
    <t>улица Вокзальная, дом 5</t>
  </si>
  <si>
    <t>поселок Литвинки,  дом 29</t>
  </si>
  <si>
    <t>проспект Комсомольский, дом 1/28 А</t>
  </si>
  <si>
    <t>переулок Спортивный,  дом 3А</t>
  </si>
  <si>
    <t>поселок 2-е Городское торфопредприятие, дом 10</t>
  </si>
  <si>
    <t>улица Академика Туполева,  дом 115</t>
  </si>
  <si>
    <t>улица Академика Туполева,  дом 103</t>
  </si>
  <si>
    <t>переулок Перекопский, дом 11а</t>
  </si>
  <si>
    <t>проспект Победы,  дом 25</t>
  </si>
  <si>
    <t>бульвар Цанова, дом 19</t>
  </si>
  <si>
    <t>проспект Волоколамский, дом 39</t>
  </si>
  <si>
    <t>улица Фадеева, дом 19</t>
  </si>
  <si>
    <t>улица Орджоникидзе,  дом 42, корпус 3</t>
  </si>
  <si>
    <t>бульвар Цанова,  дом 1</t>
  </si>
  <si>
    <t>улица Ипподромная, дом 18, корпус 2</t>
  </si>
  <si>
    <t>Двор Пролетарки,  дом 43</t>
  </si>
  <si>
    <t>улица Советская, дом 62</t>
  </si>
  <si>
    <t>улица Крылова, дом 29/40</t>
  </si>
  <si>
    <t>улица Алексея Томского, дом 6/2</t>
  </si>
  <si>
    <t>улица Бебеля,  дом 3</t>
  </si>
  <si>
    <t>улица Ефимова, дом  24</t>
  </si>
  <si>
    <t>улица Горького,  дом 21/3</t>
  </si>
  <si>
    <t>проспект Комсомольский, дом 19</t>
  </si>
  <si>
    <t>проспект Ленина, дом 19/4</t>
  </si>
  <si>
    <t>улица Маяковского,  дом  48</t>
  </si>
  <si>
    <t>улица Мусорского, дом  29/33</t>
  </si>
  <si>
    <t>улица Фурманова, дом 1А</t>
  </si>
  <si>
    <t>Петербургское шоссе, дом 69</t>
  </si>
  <si>
    <t>Петербургское шоссе,  дом 99</t>
  </si>
  <si>
    <t>улица Паши Савельевой,  дом 10</t>
  </si>
  <si>
    <t>проспект Волоколамский, дом 9</t>
  </si>
  <si>
    <t>улица Александра Попова, дом 5</t>
  </si>
  <si>
    <t>проспект Ленина, дом 37</t>
  </si>
  <si>
    <t>улица Советская, дом 20</t>
  </si>
  <si>
    <t>улица Московская, дом 86 А</t>
  </si>
  <si>
    <t>Приложение 1 к постановлению администрации города Твери</t>
  </si>
  <si>
    <t>Часть I. Перечень многоквартирных домов, которые подлежат капитальному ремонту</t>
  </si>
  <si>
    <t xml:space="preserve">И.о. Генерального директора Фонда капитального </t>
  </si>
  <si>
    <t>ремонта многоквартирных домов Тверской области _____________ Л.Ю. Северов</t>
  </si>
  <si>
    <t>улица Богданова, дом 10, корпус 2</t>
  </si>
  <si>
    <t>шлакоблок</t>
  </si>
  <si>
    <t>Итого по муниципальному образованию город Тверь</t>
  </si>
  <si>
    <t>"Государственная жилищная инспекция" Тверской области _________________ А.М. Латышев</t>
  </si>
  <si>
    <t>Часть II.  Реестр многоквартирных домов, которые подлежат капитальному ремонту по видам ремонта</t>
  </si>
  <si>
    <t>№ п\п</t>
  </si>
  <si>
    <t>Общая стоимость капитального ремонта</t>
  </si>
  <si>
    <t>Ремонт внутридомовых инженерных систем</t>
  </si>
  <si>
    <t>ремонт или замена лифтового оборудования, ремонт лифтовых шахт</t>
  </si>
  <si>
    <t>ремонт крыши</t>
  </si>
  <si>
    <t>ремонт подвальных помещений</t>
  </si>
  <si>
    <t>ремонт и утепление фасада</t>
  </si>
  <si>
    <t>ремонт фундамента</t>
  </si>
  <si>
    <t>Разработка проектно-сметной документации</t>
  </si>
  <si>
    <t>Услуги по строительному контролю</t>
  </si>
  <si>
    <t>Примечание</t>
  </si>
  <si>
    <t>Всего</t>
  </si>
  <si>
    <t>Ремонт системы электроснабжения</t>
  </si>
  <si>
    <t>Ремонт системы теплоснабжения</t>
  </si>
  <si>
    <t>Ремонт системы холодного водоснабжения</t>
  </si>
  <si>
    <t>Ремонт системы горячего водоснабжения</t>
  </si>
  <si>
    <t>Ремонт системы водоотведения</t>
  </si>
  <si>
    <t>Ремонт системы газоснабжения</t>
  </si>
  <si>
    <t>Всего стоимость капитального ремонта с учетом строит. Контроля и ПСД</t>
  </si>
  <si>
    <t>ед.</t>
  </si>
  <si>
    <t>кв.м.</t>
  </si>
  <si>
    <t>куб.м.</t>
  </si>
  <si>
    <t>2015 год</t>
  </si>
  <si>
    <t>улица Мусоргского, дом  29/33</t>
  </si>
  <si>
    <t>Итого по 2015 году</t>
  </si>
  <si>
    <t>ремонта многоквартирных домов Тверской области</t>
  </si>
  <si>
    <t xml:space="preserve">               ___________________</t>
  </si>
  <si>
    <t>Л.Ю. Северов</t>
  </si>
  <si>
    <t>Часть III.  Планируемые показатели выполнения работ по капитальному ремонту многоквартирных домов</t>
  </si>
  <si>
    <t>общая площадь многоквартирных домов (далее - МКД), всего</t>
  </si>
  <si>
    <t>Количество МКД</t>
  </si>
  <si>
    <t>I квартал</t>
  </si>
  <si>
    <t>II квартал</t>
  </si>
  <si>
    <t>III квартал</t>
  </si>
  <si>
    <t>IV квартал</t>
  </si>
  <si>
    <t>Начальник департамента жилищно-коммунального хозяйства</t>
  </si>
  <si>
    <t xml:space="preserve">и жилищной политики администрации города Твери                                                                                        </t>
  </si>
  <si>
    <t>"Государственная жилищная инспекция" Тверской области _______________ А.М. Латышев</t>
  </si>
  <si>
    <t>На счете некомерческой организации "Фонд капитального ремонта многоквартирных домов Тверской области" (далее - региональный оператор)</t>
  </si>
  <si>
    <t>от "09" июля 2015 № 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</si>
</sst>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"/>
    <numFmt numFmtId="165" formatCode="#,##0.00_ ;\-#,##0.00\ "/>
    <numFmt numFmtId="166" formatCode="_-* #,##0_р_._-;\-* #,##0_р_._-;_-* &quot;-&quot;??_р_._-;_-@_-"/>
    <numFmt numFmtId="167" formatCode="#,##0_ ;\-#,##0\ 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2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4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43" fontId="2" fillId="0" borderId="0" applyFont="0" applyFill="0" applyBorder="0" applyAlignment="0" applyProtection="0"/>
  </cellStyleXfs>
  <cellXfs count="142">
    <xf numFmtId="0" fontId="0" fillId="0" borderId="0" xfId="0"/>
    <xf numFmtId="2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/>
    <xf numFmtId="2" fontId="3" fillId="0" borderId="1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 applyBorder="1" applyAlignment="1"/>
    <xf numFmtId="0" fontId="9" fillId="0" borderId="0" xfId="0" applyFont="1" applyAlignment="1"/>
    <xf numFmtId="4" fontId="9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43" fontId="6" fillId="0" borderId="1" xfId="8" applyFont="1" applyFill="1" applyBorder="1" applyAlignment="1">
      <alignment horizontal="center" vertical="center"/>
    </xf>
    <xf numFmtId="43" fontId="6" fillId="0" borderId="1" xfId="8" applyFont="1" applyFill="1" applyBorder="1" applyAlignment="1">
      <alignment vertical="center"/>
    </xf>
    <xf numFmtId="43" fontId="6" fillId="0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/>
    <xf numFmtId="164" fontId="6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0" xfId="0" applyFont="1" applyBorder="1"/>
    <xf numFmtId="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/>
    <xf numFmtId="0" fontId="12" fillId="0" borderId="0" xfId="0" applyFont="1" applyAlignment="1"/>
    <xf numFmtId="0" fontId="13" fillId="0" borderId="0" xfId="0" applyFont="1"/>
    <xf numFmtId="0" fontId="12" fillId="0" borderId="0" xfId="0" applyFont="1"/>
    <xf numFmtId="0" fontId="7" fillId="0" borderId="0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43" fontId="3" fillId="0" borderId="1" xfId="8" applyFont="1" applyFill="1" applyBorder="1" applyAlignment="1">
      <alignment horizontal="center"/>
    </xf>
    <xf numFmtId="165" fontId="3" fillId="0" borderId="1" xfId="8" applyNumberFormat="1" applyFont="1" applyFill="1" applyBorder="1" applyAlignment="1">
      <alignment horizontal="center"/>
    </xf>
    <xf numFmtId="4" fontId="3" fillId="0" borderId="1" xfId="8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vertical="center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center" textRotation="90" wrapText="1"/>
    </xf>
    <xf numFmtId="0" fontId="16" fillId="0" borderId="1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3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/>
    </xf>
    <xf numFmtId="167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9" fillId="0" borderId="0" xfId="0" applyFont="1"/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3" fillId="0" borderId="1" xfId="8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/>
    <xf numFmtId="0" fontId="20" fillId="0" borderId="0" xfId="0" applyFont="1" applyAlignment="1"/>
    <xf numFmtId="0" fontId="21" fillId="0" borderId="0" xfId="0" applyFont="1" applyBorder="1"/>
    <xf numFmtId="0" fontId="21" fillId="0" borderId="0" xfId="0" applyFont="1"/>
    <xf numFmtId="0" fontId="12" fillId="0" borderId="0" xfId="0" applyFont="1" applyFill="1" applyBorder="1"/>
    <xf numFmtId="0" fontId="21" fillId="0" borderId="0" xfId="0" applyFont="1" applyFill="1" applyBorder="1"/>
    <xf numFmtId="0" fontId="12" fillId="0" borderId="0" xfId="0" applyFont="1" applyFill="1" applyBorder="1" applyAlignment="1"/>
    <xf numFmtId="0" fontId="4" fillId="0" borderId="0" xfId="0" applyFont="1" applyAlignment="1"/>
    <xf numFmtId="0" fontId="22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3" fontId="6" fillId="2" borderId="1" xfId="8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6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Финансовый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U107"/>
  <sheetViews>
    <sheetView tabSelected="1" view="pageBreakPreview" zoomScale="70" zoomScaleNormal="55" zoomScaleSheetLayoutView="70" workbookViewId="0">
      <selection activeCell="M2" sqref="M2"/>
    </sheetView>
  </sheetViews>
  <sheetFormatPr defaultRowHeight="15" x14ac:dyDescent="0.25"/>
  <cols>
    <col min="1" max="1" width="4.5703125" customWidth="1"/>
    <col min="2" max="2" width="37.140625" customWidth="1"/>
    <col min="3" max="3" width="11.140625" customWidth="1"/>
    <col min="4" max="4" width="11.28515625" customWidth="1"/>
    <col min="5" max="5" width="12.140625" customWidth="1"/>
    <col min="6" max="7" width="9.28515625" customWidth="1"/>
    <col min="8" max="8" width="14.42578125" customWidth="1"/>
    <col min="9" max="9" width="14.85546875" customWidth="1"/>
    <col min="10" max="11" width="13" customWidth="1"/>
    <col min="12" max="12" width="17.85546875" customWidth="1"/>
    <col min="13" max="13" width="12.140625" customWidth="1"/>
    <col min="14" max="14" width="10.7109375" customWidth="1"/>
    <col min="15" max="15" width="11.7109375" customWidth="1"/>
    <col min="16" max="16" width="16.5703125" customWidth="1"/>
    <col min="17" max="17" width="10.5703125" customWidth="1"/>
    <col min="18" max="18" width="10.7109375" customWidth="1"/>
    <col min="19" max="19" width="11.28515625" customWidth="1"/>
  </cols>
  <sheetData>
    <row r="1" spans="1:19" ht="18.7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M1" s="119" t="s">
        <v>121</v>
      </c>
      <c r="N1" s="119"/>
      <c r="O1" s="119"/>
      <c r="P1" s="119"/>
      <c r="Q1" s="119"/>
      <c r="R1" s="119"/>
      <c r="S1" s="119"/>
    </row>
    <row r="2" spans="1:19" ht="18.75" x14ac:dyDescent="0.3">
      <c r="A2" s="18"/>
      <c r="B2" s="18"/>
      <c r="C2" s="18"/>
      <c r="D2" s="18"/>
      <c r="E2" s="18"/>
      <c r="F2" s="18"/>
      <c r="G2" s="18"/>
      <c r="H2" s="18"/>
      <c r="I2" s="19"/>
      <c r="J2" s="19"/>
      <c r="K2" s="19"/>
      <c r="M2" s="55" t="s">
        <v>169</v>
      </c>
      <c r="N2" s="55"/>
      <c r="O2" s="55"/>
      <c r="P2" s="55"/>
      <c r="Q2" s="55"/>
      <c r="R2" s="55"/>
      <c r="S2" s="55"/>
    </row>
    <row r="3" spans="1:19" ht="18.75" x14ac:dyDescent="0.3">
      <c r="A3" s="18"/>
      <c r="B3" s="18"/>
      <c r="C3" s="18"/>
      <c r="D3" s="18"/>
      <c r="E3" s="18"/>
      <c r="F3" s="18"/>
      <c r="G3" s="18"/>
      <c r="H3" s="18"/>
      <c r="I3" s="19"/>
      <c r="J3" s="19"/>
      <c r="K3" s="19"/>
      <c r="L3" s="20"/>
      <c r="M3" s="20"/>
      <c r="N3" s="20"/>
      <c r="O3" s="20"/>
      <c r="P3" s="20"/>
      <c r="Q3" s="20"/>
      <c r="R3" s="20"/>
      <c r="S3" s="20"/>
    </row>
    <row r="4" spans="1:19" ht="41.25" customHeight="1" x14ac:dyDescent="0.25">
      <c r="A4" s="117" t="s">
        <v>35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 ht="18.75" customHeight="1" x14ac:dyDescent="0.25">
      <c r="A5" s="121" t="s">
        <v>122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</row>
    <row r="6" spans="1:19" ht="24" customHeight="1" x14ac:dyDescent="0.25">
      <c r="A6" s="118" t="s">
        <v>0</v>
      </c>
      <c r="B6" s="118" t="s">
        <v>25</v>
      </c>
      <c r="C6" s="127" t="s">
        <v>1</v>
      </c>
      <c r="D6" s="127"/>
      <c r="E6" s="123" t="s">
        <v>2</v>
      </c>
      <c r="F6" s="123" t="s">
        <v>3</v>
      </c>
      <c r="G6" s="123" t="s">
        <v>4</v>
      </c>
      <c r="H6" s="120" t="s">
        <v>5</v>
      </c>
      <c r="I6" s="118" t="s">
        <v>6</v>
      </c>
      <c r="J6" s="118"/>
      <c r="K6" s="120" t="s">
        <v>7</v>
      </c>
      <c r="L6" s="118" t="s">
        <v>8</v>
      </c>
      <c r="M6" s="118"/>
      <c r="N6" s="118"/>
      <c r="O6" s="118"/>
      <c r="P6" s="118"/>
      <c r="Q6" s="120" t="s">
        <v>9</v>
      </c>
      <c r="R6" s="120" t="s">
        <v>10</v>
      </c>
      <c r="S6" s="120" t="s">
        <v>11</v>
      </c>
    </row>
    <row r="7" spans="1:19" x14ac:dyDescent="0.25">
      <c r="A7" s="118"/>
      <c r="B7" s="118"/>
      <c r="C7" s="120" t="s">
        <v>12</v>
      </c>
      <c r="D7" s="120" t="s">
        <v>13</v>
      </c>
      <c r="E7" s="123"/>
      <c r="F7" s="123"/>
      <c r="G7" s="123"/>
      <c r="H7" s="120"/>
      <c r="I7" s="120" t="s">
        <v>14</v>
      </c>
      <c r="J7" s="120" t="s">
        <v>15</v>
      </c>
      <c r="K7" s="120"/>
      <c r="L7" s="120" t="s">
        <v>14</v>
      </c>
      <c r="M7" s="118" t="s">
        <v>16</v>
      </c>
      <c r="N7" s="118"/>
      <c r="O7" s="118"/>
      <c r="P7" s="118"/>
      <c r="Q7" s="120"/>
      <c r="R7" s="120"/>
      <c r="S7" s="120"/>
    </row>
    <row r="8" spans="1:19" ht="121.5" customHeight="1" x14ac:dyDescent="0.25">
      <c r="A8" s="118"/>
      <c r="B8" s="118"/>
      <c r="C8" s="120"/>
      <c r="D8" s="120"/>
      <c r="E8" s="123"/>
      <c r="F8" s="123"/>
      <c r="G8" s="123"/>
      <c r="H8" s="120"/>
      <c r="I8" s="120"/>
      <c r="J8" s="120"/>
      <c r="K8" s="120"/>
      <c r="L8" s="120"/>
      <c r="M8" s="43" t="s">
        <v>24</v>
      </c>
      <c r="N8" s="43" t="s">
        <v>17</v>
      </c>
      <c r="O8" s="43" t="s">
        <v>18</v>
      </c>
      <c r="P8" s="43" t="s">
        <v>19</v>
      </c>
      <c r="Q8" s="120"/>
      <c r="R8" s="120"/>
      <c r="S8" s="120"/>
    </row>
    <row r="9" spans="1:19" x14ac:dyDescent="0.25">
      <c r="A9" s="118"/>
      <c r="B9" s="118"/>
      <c r="C9" s="120"/>
      <c r="D9" s="120"/>
      <c r="E9" s="123"/>
      <c r="F9" s="123"/>
      <c r="G9" s="123"/>
      <c r="H9" s="44" t="s">
        <v>20</v>
      </c>
      <c r="I9" s="44" t="s">
        <v>20</v>
      </c>
      <c r="J9" s="44" t="s">
        <v>20</v>
      </c>
      <c r="K9" s="44" t="s">
        <v>21</v>
      </c>
      <c r="L9" s="44" t="s">
        <v>22</v>
      </c>
      <c r="M9" s="44" t="s">
        <v>22</v>
      </c>
      <c r="N9" s="44" t="s">
        <v>22</v>
      </c>
      <c r="O9" s="44" t="s">
        <v>22</v>
      </c>
      <c r="P9" s="44" t="s">
        <v>22</v>
      </c>
      <c r="Q9" s="44" t="s">
        <v>23</v>
      </c>
      <c r="R9" s="44" t="s">
        <v>23</v>
      </c>
      <c r="S9" s="120"/>
    </row>
    <row r="10" spans="1:19" x14ac:dyDescent="0.25">
      <c r="A10" s="45">
        <v>1</v>
      </c>
      <c r="B10" s="45">
        <v>2</v>
      </c>
      <c r="C10" s="45">
        <v>3</v>
      </c>
      <c r="D10" s="45">
        <v>4</v>
      </c>
      <c r="E10" s="45">
        <v>5</v>
      </c>
      <c r="F10" s="45">
        <v>6</v>
      </c>
      <c r="G10" s="45">
        <v>7</v>
      </c>
      <c r="H10" s="45">
        <v>8</v>
      </c>
      <c r="I10" s="45">
        <v>9</v>
      </c>
      <c r="J10" s="45">
        <v>10</v>
      </c>
      <c r="K10" s="45">
        <v>11</v>
      </c>
      <c r="L10" s="45">
        <v>12</v>
      </c>
      <c r="M10" s="45">
        <v>13</v>
      </c>
      <c r="N10" s="45">
        <v>14</v>
      </c>
      <c r="O10" s="45">
        <v>15</v>
      </c>
      <c r="P10" s="45">
        <v>16</v>
      </c>
      <c r="Q10" s="45">
        <v>17</v>
      </c>
      <c r="R10" s="45">
        <v>18</v>
      </c>
      <c r="S10" s="45">
        <v>19</v>
      </c>
    </row>
    <row r="11" spans="1:19" ht="30.75" customHeight="1" x14ac:dyDescent="0.25">
      <c r="A11" s="126" t="s">
        <v>127</v>
      </c>
      <c r="B11" s="126"/>
      <c r="C11" s="45" t="s">
        <v>28</v>
      </c>
      <c r="D11" s="45" t="s">
        <v>28</v>
      </c>
      <c r="E11" s="45" t="s">
        <v>28</v>
      </c>
      <c r="F11" s="45" t="s">
        <v>28</v>
      </c>
      <c r="G11" s="45" t="s">
        <v>28</v>
      </c>
      <c r="H11" s="33">
        <f>H95</f>
        <v>266407</v>
      </c>
      <c r="I11" s="33">
        <f t="shared" ref="I11:P11" si="0">I95</f>
        <v>241817.19999999995</v>
      </c>
      <c r="J11" s="33">
        <f t="shared" si="0"/>
        <v>214469.23999999987</v>
      </c>
      <c r="K11" s="33">
        <f t="shared" si="0"/>
        <v>10341</v>
      </c>
      <c r="L11" s="33">
        <f t="shared" si="0"/>
        <v>113852285.36999999</v>
      </c>
      <c r="M11" s="33">
        <f t="shared" si="0"/>
        <v>0</v>
      </c>
      <c r="N11" s="33">
        <f t="shared" si="0"/>
        <v>0</v>
      </c>
      <c r="O11" s="33">
        <f t="shared" si="0"/>
        <v>0</v>
      </c>
      <c r="P11" s="33">
        <f t="shared" si="0"/>
        <v>113852285.36999999</v>
      </c>
      <c r="Q11" s="45" t="s">
        <v>28</v>
      </c>
      <c r="R11" s="45" t="s">
        <v>28</v>
      </c>
      <c r="S11" s="45" t="s">
        <v>28</v>
      </c>
    </row>
    <row r="12" spans="1:19" x14ac:dyDescent="0.25">
      <c r="A12" s="124" t="s">
        <v>36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</row>
    <row r="13" spans="1:19" x14ac:dyDescent="0.25">
      <c r="A13" s="44">
        <v>1</v>
      </c>
      <c r="B13" s="56" t="s">
        <v>40</v>
      </c>
      <c r="C13" s="44">
        <v>1972</v>
      </c>
      <c r="D13" s="45"/>
      <c r="E13" s="45" t="s">
        <v>26</v>
      </c>
      <c r="F13" s="45">
        <v>5</v>
      </c>
      <c r="G13" s="45">
        <v>8</v>
      </c>
      <c r="H13" s="7">
        <v>5678.5</v>
      </c>
      <c r="I13" s="2">
        <v>5280.5</v>
      </c>
      <c r="J13" s="2">
        <f>5280.5-818.5</f>
        <v>4462</v>
      </c>
      <c r="K13" s="3">
        <v>281</v>
      </c>
      <c r="L13" s="35">
        <v>2127545.71</v>
      </c>
      <c r="M13" s="1">
        <v>0</v>
      </c>
      <c r="N13" s="1">
        <v>0</v>
      </c>
      <c r="O13" s="1">
        <f t="shared" ref="O13:O44" si="1">N13</f>
        <v>0</v>
      </c>
      <c r="P13" s="28">
        <f>L13</f>
        <v>2127545.71</v>
      </c>
      <c r="Q13" s="1">
        <f t="shared" ref="Q13:Q44" si="2">L13/I13</f>
        <v>402.90610926995549</v>
      </c>
      <c r="R13" s="44">
        <v>6421</v>
      </c>
      <c r="S13" s="17" t="s">
        <v>31</v>
      </c>
    </row>
    <row r="14" spans="1:19" x14ac:dyDescent="0.25">
      <c r="A14" s="44">
        <v>2</v>
      </c>
      <c r="B14" s="56" t="s">
        <v>41</v>
      </c>
      <c r="C14" s="44">
        <v>1962</v>
      </c>
      <c r="D14" s="45"/>
      <c r="E14" s="45" t="s">
        <v>27</v>
      </c>
      <c r="F14" s="45">
        <v>5</v>
      </c>
      <c r="G14" s="45">
        <v>2</v>
      </c>
      <c r="H14" s="7">
        <v>1870.9</v>
      </c>
      <c r="I14" s="2">
        <v>1753.8</v>
      </c>
      <c r="J14" s="2">
        <f>I14-343.2</f>
        <v>1410.6</v>
      </c>
      <c r="K14" s="3">
        <v>62</v>
      </c>
      <c r="L14" s="35">
        <v>601717.39</v>
      </c>
      <c r="M14" s="1">
        <v>0</v>
      </c>
      <c r="N14" s="1">
        <v>0</v>
      </c>
      <c r="O14" s="1">
        <f t="shared" si="1"/>
        <v>0</v>
      </c>
      <c r="P14" s="28">
        <f t="shared" ref="P14:P77" si="3">L14</f>
        <v>601717.39</v>
      </c>
      <c r="Q14" s="1">
        <f t="shared" si="2"/>
        <v>343.09350553084732</v>
      </c>
      <c r="R14" s="44">
        <v>6421</v>
      </c>
      <c r="S14" s="17" t="s">
        <v>31</v>
      </c>
    </row>
    <row r="15" spans="1:19" x14ac:dyDescent="0.25">
      <c r="A15" s="44">
        <v>3</v>
      </c>
      <c r="B15" s="56" t="s">
        <v>42</v>
      </c>
      <c r="C15" s="44">
        <v>1961</v>
      </c>
      <c r="D15" s="45"/>
      <c r="E15" s="45" t="s">
        <v>27</v>
      </c>
      <c r="F15" s="45">
        <v>5</v>
      </c>
      <c r="G15" s="45">
        <v>2</v>
      </c>
      <c r="H15" s="7">
        <v>1932.3</v>
      </c>
      <c r="I15" s="2">
        <v>1810.4</v>
      </c>
      <c r="J15" s="2">
        <f>I15-233.6</f>
        <v>1576.8000000000002</v>
      </c>
      <c r="K15" s="3">
        <v>61</v>
      </c>
      <c r="L15" s="35">
        <v>358562.25</v>
      </c>
      <c r="M15" s="1">
        <v>0</v>
      </c>
      <c r="N15" s="1">
        <v>0</v>
      </c>
      <c r="O15" s="1">
        <f t="shared" si="1"/>
        <v>0</v>
      </c>
      <c r="P15" s="28">
        <f t="shared" si="3"/>
        <v>358562.25</v>
      </c>
      <c r="Q15" s="1">
        <f t="shared" si="2"/>
        <v>198.05692112240388</v>
      </c>
      <c r="R15" s="44">
        <v>6421</v>
      </c>
      <c r="S15" s="17" t="s">
        <v>31</v>
      </c>
    </row>
    <row r="16" spans="1:19" x14ac:dyDescent="0.25">
      <c r="A16" s="44">
        <v>4</v>
      </c>
      <c r="B16" s="56" t="s">
        <v>44</v>
      </c>
      <c r="C16" s="44">
        <v>1988</v>
      </c>
      <c r="D16" s="45"/>
      <c r="E16" s="45" t="s">
        <v>27</v>
      </c>
      <c r="F16" s="45">
        <v>9</v>
      </c>
      <c r="G16" s="45">
        <v>2</v>
      </c>
      <c r="H16" s="7">
        <v>5993.1</v>
      </c>
      <c r="I16" s="2">
        <v>5486.2</v>
      </c>
      <c r="J16" s="2">
        <f>I16-380.2</f>
        <v>5106</v>
      </c>
      <c r="K16" s="3">
        <v>275</v>
      </c>
      <c r="L16" s="35">
        <v>1190687.6499999999</v>
      </c>
      <c r="M16" s="1">
        <v>0</v>
      </c>
      <c r="N16" s="1">
        <v>0</v>
      </c>
      <c r="O16" s="1">
        <f t="shared" si="1"/>
        <v>0</v>
      </c>
      <c r="P16" s="28">
        <f t="shared" si="3"/>
        <v>1190687.6499999999</v>
      </c>
      <c r="Q16" s="1">
        <f t="shared" si="2"/>
        <v>217.03321971492107</v>
      </c>
      <c r="R16" s="44">
        <v>6421</v>
      </c>
      <c r="S16" s="17" t="s">
        <v>31</v>
      </c>
    </row>
    <row r="17" spans="1:19" x14ac:dyDescent="0.25">
      <c r="A17" s="44">
        <v>5</v>
      </c>
      <c r="B17" s="56" t="s">
        <v>47</v>
      </c>
      <c r="C17" s="44">
        <v>1963</v>
      </c>
      <c r="D17" s="45"/>
      <c r="E17" s="45" t="s">
        <v>27</v>
      </c>
      <c r="F17" s="45">
        <v>4</v>
      </c>
      <c r="G17" s="45">
        <v>4</v>
      </c>
      <c r="H17" s="7">
        <v>2744.7</v>
      </c>
      <c r="I17" s="2">
        <v>2554.4</v>
      </c>
      <c r="J17" s="2">
        <f>I17-213.2</f>
        <v>2341.2000000000003</v>
      </c>
      <c r="K17" s="3">
        <v>127</v>
      </c>
      <c r="L17" s="35">
        <v>490095.3</v>
      </c>
      <c r="M17" s="1">
        <v>0</v>
      </c>
      <c r="N17" s="1">
        <v>0</v>
      </c>
      <c r="O17" s="1">
        <f t="shared" si="1"/>
        <v>0</v>
      </c>
      <c r="P17" s="28">
        <f t="shared" si="3"/>
        <v>490095.3</v>
      </c>
      <c r="Q17" s="1">
        <f t="shared" si="2"/>
        <v>191.86317726276229</v>
      </c>
      <c r="R17" s="44">
        <v>6421</v>
      </c>
      <c r="S17" s="17" t="s">
        <v>31</v>
      </c>
    </row>
    <row r="18" spans="1:19" x14ac:dyDescent="0.25">
      <c r="A18" s="44">
        <v>6</v>
      </c>
      <c r="B18" s="56" t="s">
        <v>48</v>
      </c>
      <c r="C18" s="44">
        <v>1995</v>
      </c>
      <c r="D18" s="45"/>
      <c r="E18" s="45" t="s">
        <v>27</v>
      </c>
      <c r="F18" s="45">
        <v>5</v>
      </c>
      <c r="G18" s="45">
        <v>4</v>
      </c>
      <c r="H18" s="7">
        <v>3360.3</v>
      </c>
      <c r="I18" s="2">
        <v>3050.3</v>
      </c>
      <c r="J18" s="2">
        <f>I18-282.8</f>
        <v>2767.5</v>
      </c>
      <c r="K18" s="3">
        <v>132</v>
      </c>
      <c r="L18" s="35">
        <v>1107816.3</v>
      </c>
      <c r="M18" s="1">
        <v>0</v>
      </c>
      <c r="N18" s="1">
        <v>0</v>
      </c>
      <c r="O18" s="1">
        <f t="shared" si="1"/>
        <v>0</v>
      </c>
      <c r="P18" s="28">
        <f t="shared" si="3"/>
        <v>1107816.3</v>
      </c>
      <c r="Q18" s="1">
        <f t="shared" si="2"/>
        <v>363.18273612431562</v>
      </c>
      <c r="R18" s="44">
        <v>6421</v>
      </c>
      <c r="S18" s="17" t="s">
        <v>31</v>
      </c>
    </row>
    <row r="19" spans="1:19" x14ac:dyDescent="0.25">
      <c r="A19" s="44">
        <v>7</v>
      </c>
      <c r="B19" s="56" t="s">
        <v>50</v>
      </c>
      <c r="C19" s="44">
        <v>1953</v>
      </c>
      <c r="D19" s="45"/>
      <c r="E19" s="45" t="s">
        <v>27</v>
      </c>
      <c r="F19" s="45">
        <v>2</v>
      </c>
      <c r="G19" s="45">
        <v>2</v>
      </c>
      <c r="H19" s="7">
        <v>423.9</v>
      </c>
      <c r="I19" s="2">
        <v>370.2</v>
      </c>
      <c r="J19" s="2">
        <f>I19-0</f>
        <v>370.2</v>
      </c>
      <c r="K19" s="3">
        <v>23</v>
      </c>
      <c r="L19" s="35">
        <v>112427.26</v>
      </c>
      <c r="M19" s="1">
        <v>0</v>
      </c>
      <c r="N19" s="1">
        <v>0</v>
      </c>
      <c r="O19" s="1">
        <f t="shared" si="1"/>
        <v>0</v>
      </c>
      <c r="P19" s="28">
        <f t="shared" si="3"/>
        <v>112427.26</v>
      </c>
      <c r="Q19" s="1">
        <f t="shared" si="2"/>
        <v>303.69330091842249</v>
      </c>
      <c r="R19" s="44">
        <v>6421</v>
      </c>
      <c r="S19" s="17" t="s">
        <v>31</v>
      </c>
    </row>
    <row r="20" spans="1:19" x14ac:dyDescent="0.25">
      <c r="A20" s="44">
        <v>8</v>
      </c>
      <c r="B20" s="56" t="s">
        <v>51</v>
      </c>
      <c r="C20" s="4">
        <v>1973</v>
      </c>
      <c r="D20" s="24"/>
      <c r="E20" s="24" t="s">
        <v>26</v>
      </c>
      <c r="F20" s="24">
        <v>5</v>
      </c>
      <c r="G20" s="24">
        <v>4</v>
      </c>
      <c r="H20" s="25">
        <v>4436</v>
      </c>
      <c r="I20" s="26">
        <v>4148.7</v>
      </c>
      <c r="J20" s="26">
        <f>I20-367.3</f>
        <v>3781.3999999999996</v>
      </c>
      <c r="K20" s="27">
        <v>136</v>
      </c>
      <c r="L20" s="35">
        <v>1483047.5</v>
      </c>
      <c r="M20" s="21">
        <v>0</v>
      </c>
      <c r="N20" s="21">
        <v>0</v>
      </c>
      <c r="O20" s="21">
        <f t="shared" si="1"/>
        <v>0</v>
      </c>
      <c r="P20" s="28">
        <f t="shared" si="3"/>
        <v>1483047.5</v>
      </c>
      <c r="Q20" s="21">
        <f t="shared" si="2"/>
        <v>357.47282281196522</v>
      </c>
      <c r="R20" s="4">
        <v>6421</v>
      </c>
      <c r="S20" s="22" t="s">
        <v>31</v>
      </c>
    </row>
    <row r="21" spans="1:19" x14ac:dyDescent="0.25">
      <c r="A21" s="44">
        <v>9</v>
      </c>
      <c r="B21" s="56" t="s">
        <v>52</v>
      </c>
      <c r="C21" s="44">
        <v>1968</v>
      </c>
      <c r="D21" s="45"/>
      <c r="E21" s="45" t="s">
        <v>26</v>
      </c>
      <c r="F21" s="45">
        <v>5</v>
      </c>
      <c r="G21" s="45">
        <v>4</v>
      </c>
      <c r="H21" s="7">
        <v>2988.3</v>
      </c>
      <c r="I21" s="2">
        <v>2681.9</v>
      </c>
      <c r="J21" s="2">
        <f>I21-325.5</f>
        <v>2356.4</v>
      </c>
      <c r="K21" s="3">
        <v>153</v>
      </c>
      <c r="L21" s="35">
        <v>680133.88</v>
      </c>
      <c r="M21" s="1">
        <v>0</v>
      </c>
      <c r="N21" s="1">
        <v>0</v>
      </c>
      <c r="O21" s="1">
        <f t="shared" si="1"/>
        <v>0</v>
      </c>
      <c r="P21" s="28">
        <f t="shared" si="3"/>
        <v>680133.88</v>
      </c>
      <c r="Q21" s="1">
        <f t="shared" si="2"/>
        <v>253.60150639472016</v>
      </c>
      <c r="R21" s="44">
        <v>6421</v>
      </c>
      <c r="S21" s="17" t="s">
        <v>31</v>
      </c>
    </row>
    <row r="22" spans="1:19" x14ac:dyDescent="0.25">
      <c r="A22" s="44">
        <v>10</v>
      </c>
      <c r="B22" s="56" t="s">
        <v>54</v>
      </c>
      <c r="C22" s="44">
        <v>1957</v>
      </c>
      <c r="D22" s="45">
        <v>2008</v>
      </c>
      <c r="E22" s="45" t="s">
        <v>27</v>
      </c>
      <c r="F22" s="45">
        <v>4</v>
      </c>
      <c r="G22" s="45">
        <v>2</v>
      </c>
      <c r="H22" s="7">
        <v>2178.6999999999998</v>
      </c>
      <c r="I22" s="2">
        <v>1936.2</v>
      </c>
      <c r="J22" s="2">
        <f>I22-0</f>
        <v>1936.2</v>
      </c>
      <c r="K22" s="3">
        <v>78</v>
      </c>
      <c r="L22" s="35">
        <v>289473.34999999998</v>
      </c>
      <c r="M22" s="1">
        <v>0</v>
      </c>
      <c r="N22" s="1">
        <v>0</v>
      </c>
      <c r="O22" s="1">
        <f t="shared" si="1"/>
        <v>0</v>
      </c>
      <c r="P22" s="28">
        <f t="shared" si="3"/>
        <v>289473.34999999998</v>
      </c>
      <c r="Q22" s="1">
        <f t="shared" si="2"/>
        <v>149.50591364528455</v>
      </c>
      <c r="R22" s="44">
        <v>6421</v>
      </c>
      <c r="S22" s="17" t="s">
        <v>31</v>
      </c>
    </row>
    <row r="23" spans="1:19" x14ac:dyDescent="0.25">
      <c r="A23" s="44">
        <v>11</v>
      </c>
      <c r="B23" s="56" t="s">
        <v>56</v>
      </c>
      <c r="C23" s="44">
        <v>1966</v>
      </c>
      <c r="D23" s="45"/>
      <c r="E23" s="45" t="s">
        <v>26</v>
      </c>
      <c r="F23" s="45">
        <v>5</v>
      </c>
      <c r="G23" s="45">
        <v>6</v>
      </c>
      <c r="H23" s="7">
        <v>4764</v>
      </c>
      <c r="I23" s="2">
        <v>4401.5</v>
      </c>
      <c r="J23" s="2">
        <f>I23-830.7</f>
        <v>3570.8</v>
      </c>
      <c r="K23" s="3">
        <v>226</v>
      </c>
      <c r="L23" s="35">
        <v>1689093.37</v>
      </c>
      <c r="M23" s="1">
        <v>0</v>
      </c>
      <c r="N23" s="1">
        <v>0</v>
      </c>
      <c r="O23" s="1">
        <f t="shared" si="1"/>
        <v>0</v>
      </c>
      <c r="P23" s="28">
        <f t="shared" si="3"/>
        <v>1689093.37</v>
      </c>
      <c r="Q23" s="1">
        <f t="shared" si="2"/>
        <v>383.75403158014313</v>
      </c>
      <c r="R23" s="44">
        <v>6421</v>
      </c>
      <c r="S23" s="17" t="s">
        <v>31</v>
      </c>
    </row>
    <row r="24" spans="1:19" x14ac:dyDescent="0.25">
      <c r="A24" s="44">
        <v>12</v>
      </c>
      <c r="B24" s="56" t="s">
        <v>57</v>
      </c>
      <c r="C24" s="44">
        <v>1973</v>
      </c>
      <c r="D24" s="45"/>
      <c r="E24" s="45" t="s">
        <v>27</v>
      </c>
      <c r="F24" s="45">
        <v>5</v>
      </c>
      <c r="G24" s="45">
        <v>2</v>
      </c>
      <c r="H24" s="7">
        <v>1940.4</v>
      </c>
      <c r="I24" s="2">
        <v>1790.2</v>
      </c>
      <c r="J24" s="2">
        <f>I24-269.3</f>
        <v>1520.9</v>
      </c>
      <c r="K24" s="3">
        <v>86</v>
      </c>
      <c r="L24" s="35">
        <v>830929.7</v>
      </c>
      <c r="M24" s="1">
        <v>0</v>
      </c>
      <c r="N24" s="1">
        <v>0</v>
      </c>
      <c r="O24" s="1">
        <f t="shared" si="1"/>
        <v>0</v>
      </c>
      <c r="P24" s="28">
        <f t="shared" si="3"/>
        <v>830929.7</v>
      </c>
      <c r="Q24" s="1">
        <f t="shared" si="2"/>
        <v>464.15467545525638</v>
      </c>
      <c r="R24" s="44">
        <v>6421</v>
      </c>
      <c r="S24" s="17" t="s">
        <v>31</v>
      </c>
    </row>
    <row r="25" spans="1:19" x14ac:dyDescent="0.25">
      <c r="A25" s="44">
        <v>13</v>
      </c>
      <c r="B25" s="56" t="s">
        <v>58</v>
      </c>
      <c r="C25" s="44" t="s">
        <v>29</v>
      </c>
      <c r="D25" s="45"/>
      <c r="E25" s="45" t="s">
        <v>27</v>
      </c>
      <c r="F25" s="45">
        <v>4</v>
      </c>
      <c r="G25" s="45">
        <v>3</v>
      </c>
      <c r="H25" s="7">
        <v>2521.1999999999998</v>
      </c>
      <c r="I25" s="2">
        <v>2083.5</v>
      </c>
      <c r="J25" s="2">
        <f>I25-140.7</f>
        <v>1942.8</v>
      </c>
      <c r="K25" s="3">
        <v>72</v>
      </c>
      <c r="L25" s="35">
        <v>319310.40999999997</v>
      </c>
      <c r="M25" s="1">
        <v>0</v>
      </c>
      <c r="N25" s="1">
        <v>0</v>
      </c>
      <c r="O25" s="1">
        <f t="shared" si="1"/>
        <v>0</v>
      </c>
      <c r="P25" s="28">
        <f t="shared" si="3"/>
        <v>319310.40999999997</v>
      </c>
      <c r="Q25" s="1">
        <f t="shared" si="2"/>
        <v>153.25673626109909</v>
      </c>
      <c r="R25" s="44">
        <v>6421</v>
      </c>
      <c r="S25" s="17" t="s">
        <v>31</v>
      </c>
    </row>
    <row r="26" spans="1:19" x14ac:dyDescent="0.25">
      <c r="A26" s="44">
        <v>14</v>
      </c>
      <c r="B26" s="56" t="s">
        <v>59</v>
      </c>
      <c r="C26" s="44">
        <v>1968</v>
      </c>
      <c r="D26" s="45"/>
      <c r="E26" s="45" t="s">
        <v>26</v>
      </c>
      <c r="F26" s="45">
        <v>5</v>
      </c>
      <c r="G26" s="45">
        <v>4</v>
      </c>
      <c r="H26" s="7">
        <v>3000.5</v>
      </c>
      <c r="I26" s="2">
        <v>2708.7</v>
      </c>
      <c r="J26" s="2">
        <f>I26-527.2</f>
        <v>2181.5</v>
      </c>
      <c r="K26" s="3">
        <v>110</v>
      </c>
      <c r="L26" s="35">
        <v>700947.14</v>
      </c>
      <c r="M26" s="1">
        <v>0</v>
      </c>
      <c r="N26" s="1">
        <v>0</v>
      </c>
      <c r="O26" s="1">
        <f t="shared" si="1"/>
        <v>0</v>
      </c>
      <c r="P26" s="28">
        <f t="shared" si="3"/>
        <v>700947.14</v>
      </c>
      <c r="Q26" s="1">
        <f t="shared" si="2"/>
        <v>258.77621737364791</v>
      </c>
      <c r="R26" s="44">
        <v>6421</v>
      </c>
      <c r="S26" s="17" t="s">
        <v>31</v>
      </c>
    </row>
    <row r="27" spans="1:19" x14ac:dyDescent="0.25">
      <c r="A27" s="44">
        <v>15</v>
      </c>
      <c r="B27" s="56" t="s">
        <v>60</v>
      </c>
      <c r="C27" s="44">
        <v>1960</v>
      </c>
      <c r="D27" s="45"/>
      <c r="E27" s="45" t="s">
        <v>27</v>
      </c>
      <c r="F27" s="45">
        <v>5</v>
      </c>
      <c r="G27" s="45">
        <v>4</v>
      </c>
      <c r="H27" s="7">
        <v>3267.9</v>
      </c>
      <c r="I27" s="2">
        <v>2992.4</v>
      </c>
      <c r="J27" s="2">
        <f>I27-201.1</f>
        <v>2791.3</v>
      </c>
      <c r="K27" s="3">
        <v>136</v>
      </c>
      <c r="L27" s="35">
        <v>1391306.75</v>
      </c>
      <c r="M27" s="1">
        <v>0</v>
      </c>
      <c r="N27" s="1">
        <v>0</v>
      </c>
      <c r="O27" s="1">
        <f t="shared" si="1"/>
        <v>0</v>
      </c>
      <c r="P27" s="28">
        <f t="shared" si="3"/>
        <v>1391306.75</v>
      </c>
      <c r="Q27" s="1">
        <f t="shared" si="2"/>
        <v>464.94678184734659</v>
      </c>
      <c r="R27" s="44">
        <v>6421</v>
      </c>
      <c r="S27" s="17" t="s">
        <v>31</v>
      </c>
    </row>
    <row r="28" spans="1:19" x14ac:dyDescent="0.25">
      <c r="A28" s="44">
        <v>16</v>
      </c>
      <c r="B28" s="56" t="s">
        <v>63</v>
      </c>
      <c r="C28" s="5">
        <v>1971</v>
      </c>
      <c r="D28" s="8"/>
      <c r="E28" s="12" t="s">
        <v>26</v>
      </c>
      <c r="F28" s="10">
        <v>5</v>
      </c>
      <c r="G28" s="10">
        <v>4</v>
      </c>
      <c r="H28" s="14">
        <v>2974.3</v>
      </c>
      <c r="I28" s="12">
        <v>2706.3</v>
      </c>
      <c r="J28" s="12">
        <f>I28-580.9</f>
        <v>2125.4</v>
      </c>
      <c r="K28" s="16">
        <v>134</v>
      </c>
      <c r="L28" s="35">
        <v>1326085.24</v>
      </c>
      <c r="M28" s="1">
        <v>0</v>
      </c>
      <c r="N28" s="1">
        <v>0</v>
      </c>
      <c r="O28" s="1">
        <f t="shared" si="1"/>
        <v>0</v>
      </c>
      <c r="P28" s="28">
        <f t="shared" si="3"/>
        <v>1326085.24</v>
      </c>
      <c r="Q28" s="1">
        <f t="shared" si="2"/>
        <v>489.99934966559505</v>
      </c>
      <c r="R28" s="44">
        <v>6421</v>
      </c>
      <c r="S28" s="17" t="s">
        <v>31</v>
      </c>
    </row>
    <row r="29" spans="1:19" x14ac:dyDescent="0.25">
      <c r="A29" s="44">
        <v>17</v>
      </c>
      <c r="B29" s="56" t="s">
        <v>64</v>
      </c>
      <c r="C29" s="5">
        <v>1970</v>
      </c>
      <c r="D29" s="8"/>
      <c r="E29" s="12" t="s">
        <v>26</v>
      </c>
      <c r="F29" s="10">
        <v>5</v>
      </c>
      <c r="G29" s="10">
        <v>8</v>
      </c>
      <c r="H29" s="14">
        <v>6291</v>
      </c>
      <c r="I29" s="12">
        <v>5738</v>
      </c>
      <c r="J29" s="12">
        <f>I29-890.3</f>
        <v>4847.7</v>
      </c>
      <c r="K29" s="16">
        <v>312</v>
      </c>
      <c r="L29" s="35">
        <v>2368912.0499999998</v>
      </c>
      <c r="M29" s="1">
        <v>0</v>
      </c>
      <c r="N29" s="1">
        <v>0</v>
      </c>
      <c r="O29" s="1">
        <f t="shared" si="1"/>
        <v>0</v>
      </c>
      <c r="P29" s="28">
        <f t="shared" si="3"/>
        <v>2368912.0499999998</v>
      </c>
      <c r="Q29" s="1">
        <f t="shared" si="2"/>
        <v>412.84629661903097</v>
      </c>
      <c r="R29" s="44">
        <v>6421</v>
      </c>
      <c r="S29" s="17" t="s">
        <v>31</v>
      </c>
    </row>
    <row r="30" spans="1:19" x14ac:dyDescent="0.25">
      <c r="A30" s="44">
        <v>18</v>
      </c>
      <c r="B30" s="56" t="s">
        <v>65</v>
      </c>
      <c r="C30" s="5">
        <v>1971</v>
      </c>
      <c r="D30" s="8"/>
      <c r="E30" s="12" t="s">
        <v>26</v>
      </c>
      <c r="F30" s="10">
        <v>5</v>
      </c>
      <c r="G30" s="10">
        <v>4</v>
      </c>
      <c r="H30" s="14">
        <v>3008.7</v>
      </c>
      <c r="I30" s="12">
        <v>2702.5</v>
      </c>
      <c r="J30" s="12">
        <f>I30-217.7</f>
        <v>2484.8000000000002</v>
      </c>
      <c r="K30" s="16">
        <v>124</v>
      </c>
      <c r="L30" s="35">
        <v>1198452.8600000001</v>
      </c>
      <c r="M30" s="1">
        <v>0</v>
      </c>
      <c r="N30" s="1">
        <v>0</v>
      </c>
      <c r="O30" s="1">
        <f t="shared" si="1"/>
        <v>0</v>
      </c>
      <c r="P30" s="28">
        <f t="shared" si="3"/>
        <v>1198452.8600000001</v>
      </c>
      <c r="Q30" s="1">
        <f t="shared" si="2"/>
        <v>443.46081776133212</v>
      </c>
      <c r="R30" s="44">
        <v>6421</v>
      </c>
      <c r="S30" s="17" t="s">
        <v>31</v>
      </c>
    </row>
    <row r="31" spans="1:19" x14ac:dyDescent="0.25">
      <c r="A31" s="44">
        <v>19</v>
      </c>
      <c r="B31" s="56" t="s">
        <v>66</v>
      </c>
      <c r="C31" s="5">
        <v>1989</v>
      </c>
      <c r="D31" s="8"/>
      <c r="E31" s="12" t="s">
        <v>26</v>
      </c>
      <c r="F31" s="10">
        <v>9</v>
      </c>
      <c r="G31" s="10">
        <v>1</v>
      </c>
      <c r="H31" s="14">
        <v>4633.8999999999996</v>
      </c>
      <c r="I31" s="12">
        <v>3840.7</v>
      </c>
      <c r="J31" s="12">
        <f>I31-707.34</f>
        <v>3133.3599999999997</v>
      </c>
      <c r="K31" s="16">
        <v>187</v>
      </c>
      <c r="L31" s="35">
        <v>916460.97</v>
      </c>
      <c r="M31" s="1">
        <v>0</v>
      </c>
      <c r="N31" s="1">
        <v>0</v>
      </c>
      <c r="O31" s="1">
        <f t="shared" si="1"/>
        <v>0</v>
      </c>
      <c r="P31" s="28">
        <f t="shared" si="3"/>
        <v>916460.97</v>
      </c>
      <c r="Q31" s="1">
        <f t="shared" si="2"/>
        <v>238.61821282578697</v>
      </c>
      <c r="R31" s="44">
        <v>6421</v>
      </c>
      <c r="S31" s="17" t="s">
        <v>31</v>
      </c>
    </row>
    <row r="32" spans="1:19" x14ac:dyDescent="0.25">
      <c r="A32" s="44">
        <v>20</v>
      </c>
      <c r="B32" s="56" t="s">
        <v>67</v>
      </c>
      <c r="C32" s="6">
        <v>1989</v>
      </c>
      <c r="D32" s="9"/>
      <c r="E32" s="12" t="s">
        <v>26</v>
      </c>
      <c r="F32" s="11">
        <v>9</v>
      </c>
      <c r="G32" s="11">
        <v>1</v>
      </c>
      <c r="H32" s="15">
        <v>4129.7</v>
      </c>
      <c r="I32" s="13">
        <v>3924.8</v>
      </c>
      <c r="J32" s="12">
        <f>I32-480.5</f>
        <v>3444.3</v>
      </c>
      <c r="K32" s="16">
        <v>232</v>
      </c>
      <c r="L32" s="35">
        <v>746967.53</v>
      </c>
      <c r="M32" s="1">
        <v>0</v>
      </c>
      <c r="N32" s="1">
        <v>0</v>
      </c>
      <c r="O32" s="1">
        <f t="shared" si="1"/>
        <v>0</v>
      </c>
      <c r="P32" s="28">
        <f t="shared" si="3"/>
        <v>746967.53</v>
      </c>
      <c r="Q32" s="1">
        <f t="shared" si="2"/>
        <v>190.31989655523847</v>
      </c>
      <c r="R32" s="44">
        <v>6421</v>
      </c>
      <c r="S32" s="17" t="s">
        <v>31</v>
      </c>
    </row>
    <row r="33" spans="1:19" x14ac:dyDescent="0.25">
      <c r="A33" s="44">
        <v>21</v>
      </c>
      <c r="B33" s="56" t="s">
        <v>68</v>
      </c>
      <c r="C33" s="6">
        <v>1956</v>
      </c>
      <c r="D33" s="9"/>
      <c r="E33" s="13" t="s">
        <v>27</v>
      </c>
      <c r="F33" s="11">
        <v>2</v>
      </c>
      <c r="G33" s="11">
        <v>1</v>
      </c>
      <c r="H33" s="15">
        <v>560.9</v>
      </c>
      <c r="I33" s="13">
        <v>521.70000000000005</v>
      </c>
      <c r="J33" s="13">
        <f>I33-59.5</f>
        <v>462.20000000000005</v>
      </c>
      <c r="K33" s="59">
        <v>34</v>
      </c>
      <c r="L33" s="35">
        <v>447649.83</v>
      </c>
      <c r="M33" s="1">
        <v>0</v>
      </c>
      <c r="N33" s="1">
        <v>0</v>
      </c>
      <c r="O33" s="1">
        <f t="shared" si="1"/>
        <v>0</v>
      </c>
      <c r="P33" s="42">
        <f t="shared" si="3"/>
        <v>447649.83</v>
      </c>
      <c r="Q33" s="1">
        <f t="shared" si="2"/>
        <v>858.05986198964922</v>
      </c>
      <c r="R33" s="44">
        <v>6421</v>
      </c>
      <c r="S33" s="17" t="s">
        <v>31</v>
      </c>
    </row>
    <row r="34" spans="1:19" x14ac:dyDescent="0.25">
      <c r="A34" s="44">
        <v>22</v>
      </c>
      <c r="B34" s="56" t="s">
        <v>70</v>
      </c>
      <c r="C34" s="6">
        <v>1965</v>
      </c>
      <c r="D34" s="9"/>
      <c r="E34" s="13" t="s">
        <v>27</v>
      </c>
      <c r="F34" s="11">
        <v>5</v>
      </c>
      <c r="G34" s="11">
        <v>4</v>
      </c>
      <c r="H34" s="15">
        <v>3549.1</v>
      </c>
      <c r="I34" s="13">
        <v>3242.7</v>
      </c>
      <c r="J34" s="13">
        <f>I34-427.6</f>
        <v>2815.1</v>
      </c>
      <c r="K34" s="59">
        <v>163</v>
      </c>
      <c r="L34" s="35">
        <v>844573.48</v>
      </c>
      <c r="M34" s="1">
        <v>0</v>
      </c>
      <c r="N34" s="1">
        <v>0</v>
      </c>
      <c r="O34" s="1">
        <f t="shared" si="1"/>
        <v>0</v>
      </c>
      <c r="P34" s="42">
        <f t="shared" si="3"/>
        <v>844573.48</v>
      </c>
      <c r="Q34" s="1">
        <f t="shared" si="2"/>
        <v>260.45378234187558</v>
      </c>
      <c r="R34" s="44">
        <v>6421</v>
      </c>
      <c r="S34" s="17" t="s">
        <v>31</v>
      </c>
    </row>
    <row r="35" spans="1:19" x14ac:dyDescent="0.25">
      <c r="A35" s="44">
        <v>23</v>
      </c>
      <c r="B35" s="56" t="s">
        <v>71</v>
      </c>
      <c r="C35" s="6">
        <v>1965</v>
      </c>
      <c r="D35" s="9"/>
      <c r="E35" s="13" t="s">
        <v>26</v>
      </c>
      <c r="F35" s="11">
        <v>5</v>
      </c>
      <c r="G35" s="11">
        <v>4</v>
      </c>
      <c r="H35" s="15">
        <v>3829.5</v>
      </c>
      <c r="I35" s="13">
        <v>3553.4</v>
      </c>
      <c r="J35" s="13">
        <f>I35-601.7</f>
        <v>2951.7</v>
      </c>
      <c r="K35" s="59">
        <v>183</v>
      </c>
      <c r="L35" s="35">
        <v>752501.01</v>
      </c>
      <c r="M35" s="1">
        <v>0</v>
      </c>
      <c r="N35" s="1">
        <v>0</v>
      </c>
      <c r="O35" s="1">
        <f t="shared" si="1"/>
        <v>0</v>
      </c>
      <c r="P35" s="42">
        <f t="shared" si="3"/>
        <v>752501.01</v>
      </c>
      <c r="Q35" s="1">
        <f t="shared" si="2"/>
        <v>211.769294197107</v>
      </c>
      <c r="R35" s="44">
        <v>6421</v>
      </c>
      <c r="S35" s="17" t="s">
        <v>31</v>
      </c>
    </row>
    <row r="36" spans="1:19" x14ac:dyDescent="0.25">
      <c r="A36" s="44">
        <v>24</v>
      </c>
      <c r="B36" s="56" t="s">
        <v>72</v>
      </c>
      <c r="C36" s="6">
        <v>1970</v>
      </c>
      <c r="D36" s="9"/>
      <c r="E36" s="13" t="s">
        <v>26</v>
      </c>
      <c r="F36" s="11">
        <v>5</v>
      </c>
      <c r="G36" s="11">
        <v>4</v>
      </c>
      <c r="H36" s="15">
        <v>2977</v>
      </c>
      <c r="I36" s="13">
        <v>2705.5</v>
      </c>
      <c r="J36" s="13">
        <f>I36-193.2</f>
        <v>2512.3000000000002</v>
      </c>
      <c r="K36" s="59">
        <v>124</v>
      </c>
      <c r="L36" s="35">
        <v>751374.12</v>
      </c>
      <c r="M36" s="1">
        <v>0</v>
      </c>
      <c r="N36" s="1">
        <v>0</v>
      </c>
      <c r="O36" s="1">
        <f t="shared" si="1"/>
        <v>0</v>
      </c>
      <c r="P36" s="42">
        <f t="shared" si="3"/>
        <v>751374.12</v>
      </c>
      <c r="Q36" s="1">
        <f t="shared" si="2"/>
        <v>277.7209831824062</v>
      </c>
      <c r="R36" s="44">
        <v>6421</v>
      </c>
      <c r="S36" s="17" t="s">
        <v>31</v>
      </c>
    </row>
    <row r="37" spans="1:19" x14ac:dyDescent="0.25">
      <c r="A37" s="44">
        <v>25</v>
      </c>
      <c r="B37" s="56" t="s">
        <v>73</v>
      </c>
      <c r="C37" s="6">
        <v>1972</v>
      </c>
      <c r="D37" s="9"/>
      <c r="E37" s="13" t="s">
        <v>26</v>
      </c>
      <c r="F37" s="11">
        <v>5</v>
      </c>
      <c r="G37" s="11">
        <v>6</v>
      </c>
      <c r="H37" s="15">
        <v>4792.2</v>
      </c>
      <c r="I37" s="13">
        <v>4344.5</v>
      </c>
      <c r="J37" s="13">
        <f>I37-1283.5</f>
        <v>3061</v>
      </c>
      <c r="K37" s="59">
        <v>234</v>
      </c>
      <c r="L37" s="35">
        <v>949651.62</v>
      </c>
      <c r="M37" s="1">
        <v>0</v>
      </c>
      <c r="N37" s="1">
        <v>0</v>
      </c>
      <c r="O37" s="1">
        <f t="shared" si="1"/>
        <v>0</v>
      </c>
      <c r="P37" s="42">
        <f t="shared" si="3"/>
        <v>949651.62</v>
      </c>
      <c r="Q37" s="1">
        <f t="shared" si="2"/>
        <v>218.58709172516976</v>
      </c>
      <c r="R37" s="44">
        <v>6421</v>
      </c>
      <c r="S37" s="17" t="s">
        <v>31</v>
      </c>
    </row>
    <row r="38" spans="1:19" x14ac:dyDescent="0.25">
      <c r="A38" s="44">
        <v>26</v>
      </c>
      <c r="B38" s="56" t="s">
        <v>75</v>
      </c>
      <c r="C38" s="6">
        <v>1972</v>
      </c>
      <c r="D38" s="9"/>
      <c r="E38" s="13" t="s">
        <v>26</v>
      </c>
      <c r="F38" s="11">
        <v>5</v>
      </c>
      <c r="G38" s="11">
        <v>8</v>
      </c>
      <c r="H38" s="15">
        <v>5771.1</v>
      </c>
      <c r="I38" s="13">
        <v>5316.9</v>
      </c>
      <c r="J38" s="13">
        <f>I38-1049.2</f>
        <v>4267.7</v>
      </c>
      <c r="K38" s="59">
        <v>267</v>
      </c>
      <c r="L38" s="35">
        <v>2008145.94</v>
      </c>
      <c r="M38" s="1">
        <v>0</v>
      </c>
      <c r="N38" s="1">
        <v>0</v>
      </c>
      <c r="O38" s="1">
        <f t="shared" si="1"/>
        <v>0</v>
      </c>
      <c r="P38" s="42">
        <f t="shared" si="3"/>
        <v>2008145.94</v>
      </c>
      <c r="Q38" s="1">
        <f t="shared" si="2"/>
        <v>377.6911245274502</v>
      </c>
      <c r="R38" s="44">
        <v>6421</v>
      </c>
      <c r="S38" s="17" t="s">
        <v>31</v>
      </c>
    </row>
    <row r="39" spans="1:19" x14ac:dyDescent="0.25">
      <c r="A39" s="44">
        <v>27</v>
      </c>
      <c r="B39" s="56" t="s">
        <v>76</v>
      </c>
      <c r="C39" s="6">
        <v>1967</v>
      </c>
      <c r="D39" s="59">
        <v>2008</v>
      </c>
      <c r="E39" s="13" t="s">
        <v>26</v>
      </c>
      <c r="F39" s="11">
        <v>5</v>
      </c>
      <c r="G39" s="11">
        <v>8</v>
      </c>
      <c r="H39" s="15">
        <v>6276</v>
      </c>
      <c r="I39" s="13">
        <v>5727</v>
      </c>
      <c r="J39" s="13">
        <f>I39-1510.8</f>
        <v>4216.2</v>
      </c>
      <c r="K39" s="59">
        <v>288</v>
      </c>
      <c r="L39" s="35">
        <v>1652745.81</v>
      </c>
      <c r="M39" s="1">
        <v>0</v>
      </c>
      <c r="N39" s="1">
        <v>0</v>
      </c>
      <c r="O39" s="1">
        <f t="shared" si="1"/>
        <v>0</v>
      </c>
      <c r="P39" s="42">
        <f t="shared" si="3"/>
        <v>1652745.81</v>
      </c>
      <c r="Q39" s="1">
        <f t="shared" si="2"/>
        <v>288.58840754321636</v>
      </c>
      <c r="R39" s="44">
        <v>6421</v>
      </c>
      <c r="S39" s="17" t="s">
        <v>31</v>
      </c>
    </row>
    <row r="40" spans="1:19" x14ac:dyDescent="0.25">
      <c r="A40" s="44">
        <v>28</v>
      </c>
      <c r="B40" s="56" t="s">
        <v>78</v>
      </c>
      <c r="C40" s="6">
        <v>1957</v>
      </c>
      <c r="D40" s="6">
        <v>2009</v>
      </c>
      <c r="E40" s="6" t="s">
        <v>27</v>
      </c>
      <c r="F40" s="11">
        <v>4</v>
      </c>
      <c r="G40" s="11">
        <v>2</v>
      </c>
      <c r="H40" s="15">
        <v>2169.8000000000002</v>
      </c>
      <c r="I40" s="6">
        <v>1925.6</v>
      </c>
      <c r="J40" s="6">
        <f>I40-190.9</f>
        <v>1734.6999999999998</v>
      </c>
      <c r="K40" s="6">
        <v>72</v>
      </c>
      <c r="L40" s="35">
        <v>452038.6</v>
      </c>
      <c r="M40" s="1">
        <v>0</v>
      </c>
      <c r="N40" s="1">
        <v>0</v>
      </c>
      <c r="O40" s="1">
        <f t="shared" si="1"/>
        <v>0</v>
      </c>
      <c r="P40" s="42">
        <f t="shared" si="3"/>
        <v>452038.6</v>
      </c>
      <c r="Q40" s="1">
        <f t="shared" si="2"/>
        <v>234.75207727461571</v>
      </c>
      <c r="R40" s="44">
        <v>6421</v>
      </c>
      <c r="S40" s="17" t="s">
        <v>31</v>
      </c>
    </row>
    <row r="41" spans="1:19" x14ac:dyDescent="0.25">
      <c r="A41" s="44">
        <v>29</v>
      </c>
      <c r="B41" s="56" t="s">
        <v>79</v>
      </c>
      <c r="C41" s="6">
        <v>1966</v>
      </c>
      <c r="D41" s="39"/>
      <c r="E41" s="6" t="s">
        <v>26</v>
      </c>
      <c r="F41" s="11">
        <v>5</v>
      </c>
      <c r="G41" s="11">
        <v>6</v>
      </c>
      <c r="H41" s="15">
        <v>4784</v>
      </c>
      <c r="I41" s="6">
        <v>4375.6000000000004</v>
      </c>
      <c r="J41" s="6">
        <f>I41-321.2</f>
        <v>4054.4000000000005</v>
      </c>
      <c r="K41" s="6">
        <v>229</v>
      </c>
      <c r="L41" s="35">
        <v>1038817.54</v>
      </c>
      <c r="M41" s="1">
        <v>0</v>
      </c>
      <c r="N41" s="1">
        <v>0</v>
      </c>
      <c r="O41" s="1">
        <f t="shared" si="1"/>
        <v>0</v>
      </c>
      <c r="P41" s="42">
        <f t="shared" si="3"/>
        <v>1038817.54</v>
      </c>
      <c r="Q41" s="1">
        <f t="shared" si="2"/>
        <v>237.41144985830513</v>
      </c>
      <c r="R41" s="44">
        <v>6421</v>
      </c>
      <c r="S41" s="17" t="s">
        <v>31</v>
      </c>
    </row>
    <row r="42" spans="1:19" x14ac:dyDescent="0.25">
      <c r="A42" s="44">
        <v>30</v>
      </c>
      <c r="B42" s="56" t="s">
        <v>85</v>
      </c>
      <c r="C42" s="6">
        <v>1959</v>
      </c>
      <c r="D42" s="39"/>
      <c r="E42" s="6" t="s">
        <v>27</v>
      </c>
      <c r="F42" s="11">
        <v>4</v>
      </c>
      <c r="G42" s="11">
        <v>6</v>
      </c>
      <c r="H42" s="15">
        <v>4341.8999999999996</v>
      </c>
      <c r="I42" s="6">
        <v>3796.1</v>
      </c>
      <c r="J42" s="6">
        <f>I42-285.1</f>
        <v>3511</v>
      </c>
      <c r="K42" s="6">
        <v>183</v>
      </c>
      <c r="L42" s="35">
        <v>432916.45</v>
      </c>
      <c r="M42" s="1">
        <v>0</v>
      </c>
      <c r="N42" s="1">
        <v>0</v>
      </c>
      <c r="O42" s="1">
        <f t="shared" si="1"/>
        <v>0</v>
      </c>
      <c r="P42" s="42">
        <f t="shared" si="3"/>
        <v>432916.45</v>
      </c>
      <c r="Q42" s="1">
        <f t="shared" si="2"/>
        <v>114.04242512051843</v>
      </c>
      <c r="R42" s="44">
        <v>6421</v>
      </c>
      <c r="S42" s="17" t="s">
        <v>31</v>
      </c>
    </row>
    <row r="43" spans="1:19" x14ac:dyDescent="0.25">
      <c r="A43" s="44">
        <v>31</v>
      </c>
      <c r="B43" s="56" t="s">
        <v>87</v>
      </c>
      <c r="C43" s="6">
        <v>1976</v>
      </c>
      <c r="D43" s="39"/>
      <c r="E43" s="6" t="s">
        <v>26</v>
      </c>
      <c r="F43" s="11">
        <v>5</v>
      </c>
      <c r="G43" s="11">
        <v>6</v>
      </c>
      <c r="H43" s="15">
        <v>4557.8</v>
      </c>
      <c r="I43" s="6">
        <v>4539</v>
      </c>
      <c r="J43" s="6">
        <f>I43-577.3</f>
        <v>3961.7</v>
      </c>
      <c r="K43" s="6">
        <v>243</v>
      </c>
      <c r="L43" s="35">
        <v>2079410.9</v>
      </c>
      <c r="M43" s="1">
        <v>0</v>
      </c>
      <c r="N43" s="1">
        <v>0</v>
      </c>
      <c r="O43" s="1">
        <f t="shared" si="1"/>
        <v>0</v>
      </c>
      <c r="P43" s="42">
        <f t="shared" si="3"/>
        <v>2079410.9</v>
      </c>
      <c r="Q43" s="1">
        <f t="shared" si="2"/>
        <v>458.12092972020264</v>
      </c>
      <c r="R43" s="44">
        <v>6421</v>
      </c>
      <c r="S43" s="17" t="s">
        <v>31</v>
      </c>
    </row>
    <row r="44" spans="1:19" x14ac:dyDescent="0.25">
      <c r="A44" s="44">
        <v>32</v>
      </c>
      <c r="B44" s="56" t="s">
        <v>88</v>
      </c>
      <c r="C44" s="6">
        <v>1960</v>
      </c>
      <c r="D44" s="39"/>
      <c r="E44" s="6" t="s">
        <v>27</v>
      </c>
      <c r="F44" s="6">
        <v>5</v>
      </c>
      <c r="G44" s="6">
        <v>6</v>
      </c>
      <c r="H44" s="15">
        <v>5030.8</v>
      </c>
      <c r="I44" s="6">
        <v>4819.3</v>
      </c>
      <c r="J44" s="6">
        <f>I44-79.8</f>
        <v>4739.5</v>
      </c>
      <c r="K44" s="6">
        <v>185</v>
      </c>
      <c r="L44" s="35">
        <v>2266703.4700000002</v>
      </c>
      <c r="M44" s="1">
        <v>0</v>
      </c>
      <c r="N44" s="1">
        <v>0</v>
      </c>
      <c r="O44" s="1">
        <f t="shared" si="1"/>
        <v>0</v>
      </c>
      <c r="P44" s="42">
        <f t="shared" si="3"/>
        <v>2266703.4700000002</v>
      </c>
      <c r="Q44" s="1">
        <f t="shared" si="2"/>
        <v>470.3387359160044</v>
      </c>
      <c r="R44" s="44">
        <v>6421</v>
      </c>
      <c r="S44" s="17" t="s">
        <v>31</v>
      </c>
    </row>
    <row r="45" spans="1:19" x14ac:dyDescent="0.25">
      <c r="A45" s="44">
        <v>33</v>
      </c>
      <c r="B45" s="56" t="s">
        <v>94</v>
      </c>
      <c r="C45" s="6">
        <v>1961</v>
      </c>
      <c r="D45" s="39"/>
      <c r="E45" s="6" t="s">
        <v>27</v>
      </c>
      <c r="F45" s="6">
        <v>5</v>
      </c>
      <c r="G45" s="6">
        <v>4</v>
      </c>
      <c r="H45" s="15">
        <v>3279.3</v>
      </c>
      <c r="I45" s="15">
        <v>3190.4</v>
      </c>
      <c r="J45" s="15">
        <f>I45-111.4</f>
        <v>3079</v>
      </c>
      <c r="K45" s="41">
        <v>120</v>
      </c>
      <c r="L45" s="35">
        <v>1284484.3899999999</v>
      </c>
      <c r="M45" s="1">
        <v>0</v>
      </c>
      <c r="N45" s="1">
        <v>0</v>
      </c>
      <c r="O45" s="1">
        <f t="shared" ref="O45:O71" si="4">N45</f>
        <v>0</v>
      </c>
      <c r="P45" s="42">
        <f t="shared" si="3"/>
        <v>1284484.3899999999</v>
      </c>
      <c r="Q45" s="1">
        <f t="shared" ref="Q45:Q71" si="5">L45/I45</f>
        <v>402.60919947342023</v>
      </c>
      <c r="R45" s="44">
        <v>6421</v>
      </c>
      <c r="S45" s="17" t="s">
        <v>31</v>
      </c>
    </row>
    <row r="46" spans="1:19" x14ac:dyDescent="0.25">
      <c r="A46" s="44">
        <v>34</v>
      </c>
      <c r="B46" s="56" t="s">
        <v>95</v>
      </c>
      <c r="C46" s="6">
        <v>1964</v>
      </c>
      <c r="D46" s="39"/>
      <c r="E46" s="6" t="s">
        <v>26</v>
      </c>
      <c r="F46" s="6">
        <v>5</v>
      </c>
      <c r="G46" s="6">
        <v>4</v>
      </c>
      <c r="H46" s="15">
        <v>3836.3</v>
      </c>
      <c r="I46" s="15">
        <v>3559</v>
      </c>
      <c r="J46" s="15">
        <f>I46-136.5</f>
        <v>3422.5</v>
      </c>
      <c r="K46" s="41">
        <v>152</v>
      </c>
      <c r="L46" s="35">
        <v>1221202.9099999999</v>
      </c>
      <c r="M46" s="1">
        <v>0</v>
      </c>
      <c r="N46" s="1">
        <v>0</v>
      </c>
      <c r="O46" s="1">
        <f t="shared" si="4"/>
        <v>0</v>
      </c>
      <c r="P46" s="42">
        <f t="shared" si="3"/>
        <v>1221202.9099999999</v>
      </c>
      <c r="Q46" s="1">
        <f t="shared" si="5"/>
        <v>343.13091036808089</v>
      </c>
      <c r="R46" s="44">
        <v>6421</v>
      </c>
      <c r="S46" s="17" t="s">
        <v>31</v>
      </c>
    </row>
    <row r="47" spans="1:19" x14ac:dyDescent="0.25">
      <c r="A47" s="44">
        <v>35</v>
      </c>
      <c r="B47" s="56" t="s">
        <v>96</v>
      </c>
      <c r="C47" s="6">
        <v>1956</v>
      </c>
      <c r="D47" s="39"/>
      <c r="E47" s="6" t="s">
        <v>26</v>
      </c>
      <c r="F47" s="6">
        <v>5</v>
      </c>
      <c r="G47" s="6">
        <v>4</v>
      </c>
      <c r="H47" s="40">
        <v>4314.8999999999996</v>
      </c>
      <c r="I47" s="15">
        <v>3518.4</v>
      </c>
      <c r="J47" s="15">
        <f>I47-465.5</f>
        <v>3052.9</v>
      </c>
      <c r="K47" s="41">
        <v>144</v>
      </c>
      <c r="L47" s="35">
        <v>1211262.3700000001</v>
      </c>
      <c r="M47" s="1">
        <v>0</v>
      </c>
      <c r="N47" s="1">
        <v>0</v>
      </c>
      <c r="O47" s="1">
        <f t="shared" si="4"/>
        <v>0</v>
      </c>
      <c r="P47" s="42">
        <f t="shared" si="3"/>
        <v>1211262.3700000001</v>
      </c>
      <c r="Q47" s="1">
        <f t="shared" si="5"/>
        <v>344.26511198271942</v>
      </c>
      <c r="R47" s="44">
        <v>6421</v>
      </c>
      <c r="S47" s="17" t="s">
        <v>31</v>
      </c>
    </row>
    <row r="48" spans="1:19" x14ac:dyDescent="0.25">
      <c r="A48" s="44">
        <v>36</v>
      </c>
      <c r="B48" s="56" t="s">
        <v>97</v>
      </c>
      <c r="C48" s="6">
        <v>1965</v>
      </c>
      <c r="D48" s="39"/>
      <c r="E48" s="6" t="s">
        <v>26</v>
      </c>
      <c r="F48" s="6">
        <v>5</v>
      </c>
      <c r="G48" s="6">
        <v>5</v>
      </c>
      <c r="H48" s="15">
        <v>3648.1</v>
      </c>
      <c r="I48" s="15">
        <v>3457.9</v>
      </c>
      <c r="J48" s="15">
        <f>I48-138.3</f>
        <v>3319.6</v>
      </c>
      <c r="K48" s="41">
        <v>135</v>
      </c>
      <c r="L48" s="35">
        <v>814982.67</v>
      </c>
      <c r="M48" s="1">
        <v>0</v>
      </c>
      <c r="N48" s="1">
        <v>0</v>
      </c>
      <c r="O48" s="1">
        <f t="shared" si="4"/>
        <v>0</v>
      </c>
      <c r="P48" s="42">
        <f t="shared" si="3"/>
        <v>814982.67</v>
      </c>
      <c r="Q48" s="1">
        <f t="shared" si="5"/>
        <v>235.68717140460973</v>
      </c>
      <c r="R48" s="44">
        <v>6421</v>
      </c>
      <c r="S48" s="17" t="s">
        <v>31</v>
      </c>
    </row>
    <row r="49" spans="1:19" x14ac:dyDescent="0.25">
      <c r="A49" s="44">
        <v>37</v>
      </c>
      <c r="B49" s="56" t="s">
        <v>98</v>
      </c>
      <c r="C49" s="6">
        <v>1965</v>
      </c>
      <c r="D49" s="39"/>
      <c r="E49" s="6" t="s">
        <v>26</v>
      </c>
      <c r="F49" s="6">
        <v>5</v>
      </c>
      <c r="G49" s="6">
        <v>4</v>
      </c>
      <c r="H49" s="15">
        <v>3591.2</v>
      </c>
      <c r="I49" s="15">
        <v>3569.5</v>
      </c>
      <c r="J49" s="15">
        <f>I49-329.5</f>
        <v>3240</v>
      </c>
      <c r="K49" s="41">
        <v>125</v>
      </c>
      <c r="L49" s="35">
        <v>1158391.3600000001</v>
      </c>
      <c r="M49" s="1">
        <v>0</v>
      </c>
      <c r="N49" s="1">
        <v>0</v>
      </c>
      <c r="O49" s="1">
        <f t="shared" si="4"/>
        <v>0</v>
      </c>
      <c r="P49" s="42">
        <f t="shared" si="3"/>
        <v>1158391.3600000001</v>
      </c>
      <c r="Q49" s="1">
        <f t="shared" si="5"/>
        <v>324.52482420507079</v>
      </c>
      <c r="R49" s="44">
        <v>6421</v>
      </c>
      <c r="S49" s="17" t="s">
        <v>31</v>
      </c>
    </row>
    <row r="50" spans="1:19" x14ac:dyDescent="0.25">
      <c r="A50" s="44">
        <v>38</v>
      </c>
      <c r="B50" s="56" t="s">
        <v>99</v>
      </c>
      <c r="C50" s="6">
        <v>1965</v>
      </c>
      <c r="D50" s="39"/>
      <c r="E50" s="6" t="s">
        <v>26</v>
      </c>
      <c r="F50" s="6">
        <v>5</v>
      </c>
      <c r="G50" s="6">
        <v>4</v>
      </c>
      <c r="H50" s="15">
        <v>3611.6</v>
      </c>
      <c r="I50" s="15">
        <v>3541</v>
      </c>
      <c r="J50" s="15">
        <f>I50-255</f>
        <v>3286</v>
      </c>
      <c r="K50" s="41">
        <v>174</v>
      </c>
      <c r="L50" s="35">
        <v>1731271.87</v>
      </c>
      <c r="M50" s="1">
        <v>0</v>
      </c>
      <c r="N50" s="1">
        <v>0</v>
      </c>
      <c r="O50" s="1">
        <f t="shared" si="4"/>
        <v>0</v>
      </c>
      <c r="P50" s="42">
        <f t="shared" si="3"/>
        <v>1731271.87</v>
      </c>
      <c r="Q50" s="1">
        <f t="shared" si="5"/>
        <v>488.92173679751488</v>
      </c>
      <c r="R50" s="44">
        <v>6421</v>
      </c>
      <c r="S50" s="17" t="s">
        <v>31</v>
      </c>
    </row>
    <row r="51" spans="1:19" x14ac:dyDescent="0.25">
      <c r="A51" s="44">
        <v>39</v>
      </c>
      <c r="B51" s="57" t="s">
        <v>100</v>
      </c>
      <c r="C51" s="6">
        <v>1962</v>
      </c>
      <c r="D51" s="39"/>
      <c r="E51" s="6" t="s">
        <v>27</v>
      </c>
      <c r="F51" s="6">
        <v>4</v>
      </c>
      <c r="G51" s="6">
        <v>3</v>
      </c>
      <c r="H51" s="15">
        <v>2063.1</v>
      </c>
      <c r="I51" s="15">
        <v>2031.8</v>
      </c>
      <c r="J51" s="15">
        <f>I51-399.1</f>
        <v>1632.6999999999998</v>
      </c>
      <c r="K51" s="41">
        <v>102</v>
      </c>
      <c r="L51" s="35">
        <v>279832.61</v>
      </c>
      <c r="M51" s="1">
        <v>0</v>
      </c>
      <c r="N51" s="1">
        <v>0</v>
      </c>
      <c r="O51" s="1">
        <f t="shared" si="4"/>
        <v>0</v>
      </c>
      <c r="P51" s="42">
        <f t="shared" si="3"/>
        <v>279832.61</v>
      </c>
      <c r="Q51" s="1">
        <f t="shared" si="5"/>
        <v>137.72645437543065</v>
      </c>
      <c r="R51" s="44">
        <v>6421</v>
      </c>
      <c r="S51" s="17" t="s">
        <v>31</v>
      </c>
    </row>
    <row r="52" spans="1:19" x14ac:dyDescent="0.25">
      <c r="A52" s="44">
        <v>40</v>
      </c>
      <c r="B52" s="56" t="s">
        <v>108</v>
      </c>
      <c r="C52" s="6">
        <v>1990</v>
      </c>
      <c r="D52" s="39"/>
      <c r="E52" s="6" t="s">
        <v>26</v>
      </c>
      <c r="F52" s="6">
        <v>10</v>
      </c>
      <c r="G52" s="6">
        <v>7</v>
      </c>
      <c r="H52" s="40">
        <v>15344</v>
      </c>
      <c r="I52" s="15">
        <v>13206.4</v>
      </c>
      <c r="J52" s="15">
        <f>I52-1712</f>
        <v>11494.4</v>
      </c>
      <c r="K52" s="41">
        <v>339</v>
      </c>
      <c r="L52" s="35">
        <v>11200000</v>
      </c>
      <c r="M52" s="1">
        <v>0</v>
      </c>
      <c r="N52" s="1">
        <v>0</v>
      </c>
      <c r="O52" s="1">
        <f t="shared" si="4"/>
        <v>0</v>
      </c>
      <c r="P52" s="42">
        <f t="shared" si="3"/>
        <v>11200000</v>
      </c>
      <c r="Q52" s="1">
        <f t="shared" si="5"/>
        <v>848.07366125514909</v>
      </c>
      <c r="R52" s="44">
        <v>6421</v>
      </c>
      <c r="S52" s="17" t="s">
        <v>31</v>
      </c>
    </row>
    <row r="53" spans="1:19" x14ac:dyDescent="0.25">
      <c r="A53" s="44">
        <v>41</v>
      </c>
      <c r="B53" s="56" t="s">
        <v>113</v>
      </c>
      <c r="C53" s="6">
        <v>1968</v>
      </c>
      <c r="D53" s="39"/>
      <c r="E53" s="6" t="s">
        <v>26</v>
      </c>
      <c r="F53" s="6">
        <v>5</v>
      </c>
      <c r="G53" s="6">
        <v>4</v>
      </c>
      <c r="H53" s="15">
        <v>2985.6</v>
      </c>
      <c r="I53" s="15">
        <v>2747.4</v>
      </c>
      <c r="J53" s="15">
        <f>I53-377.7</f>
        <v>2369.7000000000003</v>
      </c>
      <c r="K53" s="41">
        <v>102</v>
      </c>
      <c r="L53" s="35">
        <v>630149.52</v>
      </c>
      <c r="M53" s="1">
        <v>0</v>
      </c>
      <c r="N53" s="1">
        <v>0</v>
      </c>
      <c r="O53" s="1">
        <f t="shared" si="4"/>
        <v>0</v>
      </c>
      <c r="P53" s="42">
        <f t="shared" si="3"/>
        <v>630149.52</v>
      </c>
      <c r="Q53" s="1">
        <f t="shared" si="5"/>
        <v>229.36213146975322</v>
      </c>
      <c r="R53" s="44">
        <v>6421</v>
      </c>
      <c r="S53" s="17" t="s">
        <v>31</v>
      </c>
    </row>
    <row r="54" spans="1:19" x14ac:dyDescent="0.25">
      <c r="A54" s="44">
        <v>42</v>
      </c>
      <c r="B54" s="56" t="s">
        <v>116</v>
      </c>
      <c r="C54" s="6">
        <v>1965</v>
      </c>
      <c r="D54" s="39"/>
      <c r="E54" s="6" t="s">
        <v>27</v>
      </c>
      <c r="F54" s="6">
        <v>5</v>
      </c>
      <c r="G54" s="6">
        <v>4</v>
      </c>
      <c r="H54" s="15">
        <v>4410.2</v>
      </c>
      <c r="I54" s="15">
        <v>3896.6</v>
      </c>
      <c r="J54" s="15">
        <f>I54-126.8</f>
        <v>3769.7999999999997</v>
      </c>
      <c r="K54" s="41">
        <v>80</v>
      </c>
      <c r="L54" s="35">
        <v>1380512.23</v>
      </c>
      <c r="M54" s="1">
        <v>0</v>
      </c>
      <c r="N54" s="1">
        <v>0</v>
      </c>
      <c r="O54" s="1">
        <f t="shared" si="4"/>
        <v>0</v>
      </c>
      <c r="P54" s="42">
        <f t="shared" si="3"/>
        <v>1380512.23</v>
      </c>
      <c r="Q54" s="1">
        <f t="shared" si="5"/>
        <v>354.28635990350563</v>
      </c>
      <c r="R54" s="44">
        <v>6421</v>
      </c>
      <c r="S54" s="17" t="s">
        <v>31</v>
      </c>
    </row>
    <row r="55" spans="1:19" x14ac:dyDescent="0.25">
      <c r="A55" s="44">
        <v>43</v>
      </c>
      <c r="B55" s="56" t="s">
        <v>117</v>
      </c>
      <c r="C55" s="6">
        <v>1963</v>
      </c>
      <c r="D55" s="39"/>
      <c r="E55" s="6" t="s">
        <v>27</v>
      </c>
      <c r="F55" s="6">
        <v>5</v>
      </c>
      <c r="G55" s="6">
        <v>3</v>
      </c>
      <c r="H55" s="15">
        <v>2564.1</v>
      </c>
      <c r="I55" s="15">
        <v>2515.5</v>
      </c>
      <c r="J55" s="15">
        <f>I55-209.6</f>
        <v>2305.9</v>
      </c>
      <c r="K55" s="41">
        <v>121</v>
      </c>
      <c r="L55" s="35">
        <v>1275756.83</v>
      </c>
      <c r="M55" s="1">
        <v>0</v>
      </c>
      <c r="N55" s="1">
        <v>0</v>
      </c>
      <c r="O55" s="1">
        <f t="shared" si="4"/>
        <v>0</v>
      </c>
      <c r="P55" s="42">
        <f t="shared" si="3"/>
        <v>1275756.83</v>
      </c>
      <c r="Q55" s="1">
        <f t="shared" si="5"/>
        <v>507.15835022858283</v>
      </c>
      <c r="R55" s="44">
        <v>6421</v>
      </c>
      <c r="S55" s="17" t="s">
        <v>31</v>
      </c>
    </row>
    <row r="56" spans="1:19" x14ac:dyDescent="0.25">
      <c r="A56" s="44">
        <v>44</v>
      </c>
      <c r="B56" s="56" t="s">
        <v>119</v>
      </c>
      <c r="C56" s="6" t="s">
        <v>29</v>
      </c>
      <c r="D56" s="6">
        <v>1964</v>
      </c>
      <c r="E56" s="6" t="s">
        <v>27</v>
      </c>
      <c r="F56" s="6">
        <v>4</v>
      </c>
      <c r="G56" s="6">
        <v>3</v>
      </c>
      <c r="H56" s="15">
        <v>1448.9</v>
      </c>
      <c r="I56" s="15">
        <v>1387.3</v>
      </c>
      <c r="J56" s="15">
        <f>I56-0</f>
        <v>1387.3</v>
      </c>
      <c r="K56" s="41">
        <v>26</v>
      </c>
      <c r="L56" s="35">
        <v>692166.59</v>
      </c>
      <c r="M56" s="1">
        <v>0</v>
      </c>
      <c r="N56" s="1">
        <v>0</v>
      </c>
      <c r="O56" s="1">
        <f t="shared" si="4"/>
        <v>0</v>
      </c>
      <c r="P56" s="42">
        <f t="shared" si="3"/>
        <v>692166.59</v>
      </c>
      <c r="Q56" s="1">
        <f t="shared" si="5"/>
        <v>498.93072154544797</v>
      </c>
      <c r="R56" s="44">
        <v>6421</v>
      </c>
      <c r="S56" s="17" t="s">
        <v>31</v>
      </c>
    </row>
    <row r="57" spans="1:19" x14ac:dyDescent="0.25">
      <c r="A57" s="44">
        <v>45</v>
      </c>
      <c r="B57" s="56" t="s">
        <v>120</v>
      </c>
      <c r="C57" s="6">
        <v>1954</v>
      </c>
      <c r="D57" s="9"/>
      <c r="E57" s="13" t="s">
        <v>27</v>
      </c>
      <c r="F57" s="11">
        <v>3</v>
      </c>
      <c r="G57" s="11">
        <v>3</v>
      </c>
      <c r="H57" s="15">
        <v>1785.6</v>
      </c>
      <c r="I57" s="13">
        <v>1585</v>
      </c>
      <c r="J57" s="13">
        <f>I57-71.7</f>
        <v>1513.3</v>
      </c>
      <c r="K57" s="59">
        <v>71</v>
      </c>
      <c r="L57" s="35">
        <v>1753246.76</v>
      </c>
      <c r="M57" s="1">
        <v>0</v>
      </c>
      <c r="N57" s="1">
        <v>0</v>
      </c>
      <c r="O57" s="1">
        <f t="shared" si="4"/>
        <v>0</v>
      </c>
      <c r="P57" s="42">
        <f t="shared" si="3"/>
        <v>1753246.76</v>
      </c>
      <c r="Q57" s="1">
        <f t="shared" si="5"/>
        <v>1106.1493753943219</v>
      </c>
      <c r="R57" s="44">
        <v>6421</v>
      </c>
      <c r="S57" s="17" t="s">
        <v>31</v>
      </c>
    </row>
    <row r="58" spans="1:19" x14ac:dyDescent="0.25">
      <c r="A58" s="44">
        <v>46</v>
      </c>
      <c r="B58" s="56" t="s">
        <v>45</v>
      </c>
      <c r="C58" s="44">
        <v>1959</v>
      </c>
      <c r="D58" s="45"/>
      <c r="E58" s="45" t="s">
        <v>27</v>
      </c>
      <c r="F58" s="45">
        <v>4</v>
      </c>
      <c r="G58" s="45">
        <v>4</v>
      </c>
      <c r="H58" s="7">
        <v>2771.3</v>
      </c>
      <c r="I58" s="7">
        <v>2547</v>
      </c>
      <c r="J58" s="7">
        <f>I58-220.1</f>
        <v>2326.9</v>
      </c>
      <c r="K58" s="3">
        <v>129</v>
      </c>
      <c r="L58" s="35">
        <v>1148280.0900000001</v>
      </c>
      <c r="M58" s="1">
        <v>0</v>
      </c>
      <c r="N58" s="1">
        <v>0</v>
      </c>
      <c r="O58" s="1">
        <f t="shared" si="4"/>
        <v>0</v>
      </c>
      <c r="P58" s="42">
        <f t="shared" si="3"/>
        <v>1148280.0900000001</v>
      </c>
      <c r="Q58" s="1">
        <f t="shared" si="5"/>
        <v>450.83631330977624</v>
      </c>
      <c r="R58" s="44">
        <v>6421</v>
      </c>
      <c r="S58" s="17" t="s">
        <v>31</v>
      </c>
    </row>
    <row r="59" spans="1:19" x14ac:dyDescent="0.25">
      <c r="A59" s="44">
        <v>47</v>
      </c>
      <c r="B59" s="56" t="s">
        <v>53</v>
      </c>
      <c r="C59" s="44">
        <v>1965</v>
      </c>
      <c r="D59" s="45"/>
      <c r="E59" s="45" t="s">
        <v>27</v>
      </c>
      <c r="F59" s="45">
        <v>4</v>
      </c>
      <c r="G59" s="45">
        <v>4</v>
      </c>
      <c r="H59" s="7">
        <v>2739.2</v>
      </c>
      <c r="I59" s="2">
        <v>2543.9</v>
      </c>
      <c r="J59" s="2">
        <f>I59-255.4</f>
        <v>2288.5</v>
      </c>
      <c r="K59" s="3">
        <v>127</v>
      </c>
      <c r="L59" s="35">
        <v>1370651.79</v>
      </c>
      <c r="M59" s="1">
        <v>0</v>
      </c>
      <c r="N59" s="1">
        <v>0</v>
      </c>
      <c r="O59" s="1">
        <f t="shared" si="4"/>
        <v>0</v>
      </c>
      <c r="P59" s="42">
        <f t="shared" si="3"/>
        <v>1370651.79</v>
      </c>
      <c r="Q59" s="1">
        <f t="shared" si="5"/>
        <v>538.79939856126418</v>
      </c>
      <c r="R59" s="44">
        <v>6421</v>
      </c>
      <c r="S59" s="17" t="s">
        <v>31</v>
      </c>
    </row>
    <row r="60" spans="1:19" x14ac:dyDescent="0.25">
      <c r="A60" s="44">
        <v>48</v>
      </c>
      <c r="B60" s="56" t="s">
        <v>69</v>
      </c>
      <c r="C60" s="6">
        <v>1962</v>
      </c>
      <c r="D60" s="9"/>
      <c r="E60" s="13" t="s">
        <v>27</v>
      </c>
      <c r="F60" s="11">
        <v>4</v>
      </c>
      <c r="G60" s="11">
        <v>3</v>
      </c>
      <c r="H60" s="15">
        <v>2175.1</v>
      </c>
      <c r="I60" s="13">
        <v>2004.4</v>
      </c>
      <c r="J60" s="13">
        <f>I60-607.7</f>
        <v>1396.7</v>
      </c>
      <c r="K60" s="59">
        <v>93</v>
      </c>
      <c r="L60" s="35">
        <v>680162.92</v>
      </c>
      <c r="M60" s="1">
        <v>0</v>
      </c>
      <c r="N60" s="1">
        <v>0</v>
      </c>
      <c r="O60" s="1">
        <f t="shared" si="4"/>
        <v>0</v>
      </c>
      <c r="P60" s="42">
        <f t="shared" si="3"/>
        <v>680162.92</v>
      </c>
      <c r="Q60" s="1">
        <f t="shared" si="5"/>
        <v>339.33492316902812</v>
      </c>
      <c r="R60" s="44">
        <v>6421</v>
      </c>
      <c r="S60" s="17" t="s">
        <v>31</v>
      </c>
    </row>
    <row r="61" spans="1:19" x14ac:dyDescent="0.25">
      <c r="A61" s="44">
        <v>49</v>
      </c>
      <c r="B61" s="56" t="s">
        <v>80</v>
      </c>
      <c r="C61" s="6">
        <v>1963</v>
      </c>
      <c r="D61" s="39"/>
      <c r="E61" s="6" t="s">
        <v>26</v>
      </c>
      <c r="F61" s="11">
        <v>4</v>
      </c>
      <c r="G61" s="11">
        <v>4</v>
      </c>
      <c r="H61" s="15">
        <v>3220.1</v>
      </c>
      <c r="I61" s="6">
        <v>2834.7</v>
      </c>
      <c r="J61" s="6">
        <f>I61-208.5</f>
        <v>2626.2</v>
      </c>
      <c r="K61" s="6">
        <v>114</v>
      </c>
      <c r="L61" s="35">
        <v>1591919.1</v>
      </c>
      <c r="M61" s="1">
        <v>0</v>
      </c>
      <c r="N61" s="1">
        <v>0</v>
      </c>
      <c r="O61" s="1">
        <f t="shared" si="4"/>
        <v>0</v>
      </c>
      <c r="P61" s="42">
        <f t="shared" si="3"/>
        <v>1591919.1</v>
      </c>
      <c r="Q61" s="1">
        <f t="shared" si="5"/>
        <v>561.58291882738922</v>
      </c>
      <c r="R61" s="44">
        <v>6421</v>
      </c>
      <c r="S61" s="17" t="s">
        <v>31</v>
      </c>
    </row>
    <row r="62" spans="1:19" x14ac:dyDescent="0.25">
      <c r="A62" s="44">
        <v>50</v>
      </c>
      <c r="B62" s="56" t="s">
        <v>81</v>
      </c>
      <c r="C62" s="6">
        <v>1980</v>
      </c>
      <c r="D62" s="39"/>
      <c r="E62" s="6" t="s">
        <v>26</v>
      </c>
      <c r="F62" s="11">
        <v>9</v>
      </c>
      <c r="G62" s="11">
        <v>6</v>
      </c>
      <c r="H62" s="40">
        <v>12984.8</v>
      </c>
      <c r="I62" s="6">
        <v>11610</v>
      </c>
      <c r="J62" s="6">
        <f>I62-1494.4</f>
        <v>10115.6</v>
      </c>
      <c r="K62" s="6">
        <v>513</v>
      </c>
      <c r="L62" s="35">
        <v>3452937.09</v>
      </c>
      <c r="M62" s="1">
        <v>0</v>
      </c>
      <c r="N62" s="1">
        <v>0</v>
      </c>
      <c r="O62" s="1">
        <f t="shared" si="4"/>
        <v>0</v>
      </c>
      <c r="P62" s="42">
        <f t="shared" si="3"/>
        <v>3452937.09</v>
      </c>
      <c r="Q62" s="1">
        <f t="shared" si="5"/>
        <v>297.41060206718345</v>
      </c>
      <c r="R62" s="44">
        <v>6421</v>
      </c>
      <c r="S62" s="17" t="s">
        <v>31</v>
      </c>
    </row>
    <row r="63" spans="1:19" x14ac:dyDescent="0.25">
      <c r="A63" s="44">
        <v>51</v>
      </c>
      <c r="B63" s="56" t="s">
        <v>82</v>
      </c>
      <c r="C63" s="6">
        <v>1954</v>
      </c>
      <c r="D63" s="6">
        <v>2012</v>
      </c>
      <c r="E63" s="6" t="s">
        <v>27</v>
      </c>
      <c r="F63" s="11">
        <v>2</v>
      </c>
      <c r="G63" s="11">
        <v>1</v>
      </c>
      <c r="H63" s="15">
        <v>438.9</v>
      </c>
      <c r="I63" s="6">
        <v>398.9</v>
      </c>
      <c r="J63" s="6">
        <f>I63-84.02</f>
        <v>314.88</v>
      </c>
      <c r="K63" s="6">
        <v>20</v>
      </c>
      <c r="L63" s="35">
        <v>145662.32999999999</v>
      </c>
      <c r="M63" s="1">
        <v>0</v>
      </c>
      <c r="N63" s="1">
        <v>0</v>
      </c>
      <c r="O63" s="1">
        <f t="shared" si="4"/>
        <v>0</v>
      </c>
      <c r="P63" s="42">
        <f t="shared" si="3"/>
        <v>145662.32999999999</v>
      </c>
      <c r="Q63" s="1">
        <f t="shared" si="5"/>
        <v>365.16001504136375</v>
      </c>
      <c r="R63" s="44">
        <v>6421</v>
      </c>
      <c r="S63" s="17" t="s">
        <v>31</v>
      </c>
    </row>
    <row r="64" spans="1:19" x14ac:dyDescent="0.25">
      <c r="A64" s="44">
        <v>52</v>
      </c>
      <c r="B64" s="56" t="s">
        <v>83</v>
      </c>
      <c r="C64" s="6">
        <v>1972</v>
      </c>
      <c r="D64" s="39"/>
      <c r="E64" s="6" t="s">
        <v>26</v>
      </c>
      <c r="F64" s="11">
        <v>5</v>
      </c>
      <c r="G64" s="11">
        <v>4</v>
      </c>
      <c r="H64" s="15">
        <v>2950.4</v>
      </c>
      <c r="I64" s="6">
        <v>2680.7</v>
      </c>
      <c r="J64" s="6">
        <f>I64-570.5</f>
        <v>2110.1999999999998</v>
      </c>
      <c r="K64" s="6">
        <v>141</v>
      </c>
      <c r="L64" s="35">
        <v>787727.49</v>
      </c>
      <c r="M64" s="1">
        <v>0</v>
      </c>
      <c r="N64" s="1">
        <v>0</v>
      </c>
      <c r="O64" s="1">
        <f t="shared" si="4"/>
        <v>0</v>
      </c>
      <c r="P64" s="42">
        <f t="shared" si="3"/>
        <v>787727.49</v>
      </c>
      <c r="Q64" s="1">
        <f t="shared" si="5"/>
        <v>293.85141567501029</v>
      </c>
      <c r="R64" s="44">
        <v>6421</v>
      </c>
      <c r="S64" s="17" t="s">
        <v>31</v>
      </c>
    </row>
    <row r="65" spans="1:19" x14ac:dyDescent="0.25">
      <c r="A65" s="44">
        <v>53</v>
      </c>
      <c r="B65" s="58" t="s">
        <v>86</v>
      </c>
      <c r="C65" s="6">
        <v>1959</v>
      </c>
      <c r="D65" s="39"/>
      <c r="E65" s="6" t="s">
        <v>27</v>
      </c>
      <c r="F65" s="11">
        <v>4</v>
      </c>
      <c r="G65" s="11">
        <v>2</v>
      </c>
      <c r="H65" s="15">
        <v>1976.8</v>
      </c>
      <c r="I65" s="6">
        <v>1759.7</v>
      </c>
      <c r="J65" s="6">
        <f>I65-90.3</f>
        <v>1669.4</v>
      </c>
      <c r="K65" s="6">
        <v>42</v>
      </c>
      <c r="L65" s="35">
        <v>929841.99</v>
      </c>
      <c r="M65" s="1">
        <v>0</v>
      </c>
      <c r="N65" s="1">
        <v>0</v>
      </c>
      <c r="O65" s="1">
        <f t="shared" si="4"/>
        <v>0</v>
      </c>
      <c r="P65" s="42">
        <f t="shared" si="3"/>
        <v>929841.99</v>
      </c>
      <c r="Q65" s="1">
        <f t="shared" si="5"/>
        <v>528.40938228107063</v>
      </c>
      <c r="R65" s="44">
        <v>6421</v>
      </c>
      <c r="S65" s="17" t="s">
        <v>31</v>
      </c>
    </row>
    <row r="66" spans="1:19" ht="25.5" x14ac:dyDescent="0.25">
      <c r="A66" s="44">
        <v>54</v>
      </c>
      <c r="B66" s="56" t="s">
        <v>90</v>
      </c>
      <c r="C66" s="6">
        <v>1964</v>
      </c>
      <c r="D66" s="39"/>
      <c r="E66" s="6" t="s">
        <v>27</v>
      </c>
      <c r="F66" s="6">
        <v>2</v>
      </c>
      <c r="G66" s="6">
        <v>2</v>
      </c>
      <c r="H66" s="15">
        <v>400.3</v>
      </c>
      <c r="I66" s="6">
        <v>357.8</v>
      </c>
      <c r="J66" s="6">
        <f>I66-139.1</f>
        <v>218.70000000000002</v>
      </c>
      <c r="K66" s="6">
        <v>23</v>
      </c>
      <c r="L66" s="35">
        <v>519989.51</v>
      </c>
      <c r="M66" s="1">
        <v>0</v>
      </c>
      <c r="N66" s="1">
        <v>0</v>
      </c>
      <c r="O66" s="1">
        <f t="shared" si="4"/>
        <v>0</v>
      </c>
      <c r="P66" s="42">
        <f t="shared" si="3"/>
        <v>519989.51</v>
      </c>
      <c r="Q66" s="1">
        <f t="shared" si="5"/>
        <v>1453.2965623253215</v>
      </c>
      <c r="R66" s="44">
        <v>6421</v>
      </c>
      <c r="S66" s="17" t="s">
        <v>31</v>
      </c>
    </row>
    <row r="67" spans="1:19" x14ac:dyDescent="0.25">
      <c r="A67" s="44">
        <v>55</v>
      </c>
      <c r="B67" s="56" t="s">
        <v>107</v>
      </c>
      <c r="C67" s="6">
        <v>1957</v>
      </c>
      <c r="D67" s="39"/>
      <c r="E67" s="6" t="s">
        <v>27</v>
      </c>
      <c r="F67" s="6">
        <v>3</v>
      </c>
      <c r="G67" s="6">
        <v>2</v>
      </c>
      <c r="H67" s="40">
        <v>1651.9</v>
      </c>
      <c r="I67" s="15">
        <v>1466.8</v>
      </c>
      <c r="J67" s="15">
        <f>I67-0</f>
        <v>1466.8</v>
      </c>
      <c r="K67" s="41">
        <v>71</v>
      </c>
      <c r="L67" s="35">
        <v>932474.06</v>
      </c>
      <c r="M67" s="1">
        <v>0</v>
      </c>
      <c r="N67" s="1">
        <v>0</v>
      </c>
      <c r="O67" s="1">
        <f t="shared" si="4"/>
        <v>0</v>
      </c>
      <c r="P67" s="42">
        <f t="shared" si="3"/>
        <v>932474.06</v>
      </c>
      <c r="Q67" s="1">
        <f t="shared" si="5"/>
        <v>635.71997545677675</v>
      </c>
      <c r="R67" s="44">
        <v>6421</v>
      </c>
      <c r="S67" s="17" t="s">
        <v>31</v>
      </c>
    </row>
    <row r="68" spans="1:19" s="38" customFormat="1" x14ac:dyDescent="0.25">
      <c r="A68" s="44">
        <v>56</v>
      </c>
      <c r="B68" s="56" t="s">
        <v>109</v>
      </c>
      <c r="C68" s="6">
        <v>1953</v>
      </c>
      <c r="D68" s="39"/>
      <c r="E68" s="6" t="s">
        <v>27</v>
      </c>
      <c r="F68" s="6">
        <v>3</v>
      </c>
      <c r="G68" s="6">
        <v>2</v>
      </c>
      <c r="H68" s="40">
        <v>2209.4</v>
      </c>
      <c r="I68" s="15">
        <v>2084.6999999999998</v>
      </c>
      <c r="J68" s="15">
        <f>I68-203.9</f>
        <v>1880.7999999999997</v>
      </c>
      <c r="K68" s="41">
        <v>97</v>
      </c>
      <c r="L68" s="35">
        <v>1551639.47</v>
      </c>
      <c r="M68" s="1">
        <v>0</v>
      </c>
      <c r="N68" s="1">
        <v>0</v>
      </c>
      <c r="O68" s="1">
        <f t="shared" si="4"/>
        <v>0</v>
      </c>
      <c r="P68" s="42">
        <f t="shared" si="3"/>
        <v>1551639.47</v>
      </c>
      <c r="Q68" s="1">
        <f t="shared" si="5"/>
        <v>744.29868566220568</v>
      </c>
      <c r="R68" s="44">
        <v>6421</v>
      </c>
      <c r="S68" s="17" t="s">
        <v>31</v>
      </c>
    </row>
    <row r="69" spans="1:19" s="23" customFormat="1" x14ac:dyDescent="0.25">
      <c r="A69" s="44">
        <v>57</v>
      </c>
      <c r="B69" s="56" t="s">
        <v>112</v>
      </c>
      <c r="C69" s="6">
        <v>1956</v>
      </c>
      <c r="D69" s="39"/>
      <c r="E69" s="6" t="s">
        <v>27</v>
      </c>
      <c r="F69" s="6">
        <v>3</v>
      </c>
      <c r="G69" s="6">
        <v>3</v>
      </c>
      <c r="H69" s="40">
        <v>2200.3000000000002</v>
      </c>
      <c r="I69" s="15">
        <v>2034.8</v>
      </c>
      <c r="J69" s="15">
        <f>I69-25.9</f>
        <v>2008.8999999999999</v>
      </c>
      <c r="K69" s="41">
        <v>52</v>
      </c>
      <c r="L69" s="36">
        <v>1340846.77</v>
      </c>
      <c r="M69" s="1">
        <v>0</v>
      </c>
      <c r="N69" s="1">
        <v>0</v>
      </c>
      <c r="O69" s="1">
        <f t="shared" si="4"/>
        <v>0</v>
      </c>
      <c r="P69" s="42">
        <f t="shared" si="3"/>
        <v>1340846.77</v>
      </c>
      <c r="Q69" s="1">
        <f t="shared" si="5"/>
        <v>658.95752408099077</v>
      </c>
      <c r="R69" s="44">
        <v>6421</v>
      </c>
      <c r="S69" s="17" t="s">
        <v>31</v>
      </c>
    </row>
    <row r="70" spans="1:19" x14ac:dyDescent="0.25">
      <c r="A70" s="44">
        <v>58</v>
      </c>
      <c r="B70" s="56" t="s">
        <v>74</v>
      </c>
      <c r="C70" s="6">
        <v>1937</v>
      </c>
      <c r="D70" s="9"/>
      <c r="E70" s="13" t="s">
        <v>27</v>
      </c>
      <c r="F70" s="11">
        <v>4</v>
      </c>
      <c r="G70" s="11">
        <v>4</v>
      </c>
      <c r="H70" s="15">
        <v>2518.6999999999998</v>
      </c>
      <c r="I70" s="13">
        <v>2379.6</v>
      </c>
      <c r="J70" s="13">
        <f>I70-73.4</f>
        <v>2306.1999999999998</v>
      </c>
      <c r="K70" s="59">
        <v>90</v>
      </c>
      <c r="L70" s="35">
        <v>1540519.58</v>
      </c>
      <c r="M70" s="1">
        <v>0</v>
      </c>
      <c r="N70" s="1">
        <v>0</v>
      </c>
      <c r="O70" s="1">
        <f t="shared" si="4"/>
        <v>0</v>
      </c>
      <c r="P70" s="42">
        <f t="shared" si="3"/>
        <v>1540519.58</v>
      </c>
      <c r="Q70" s="1">
        <f t="shared" si="5"/>
        <v>647.38593881324596</v>
      </c>
      <c r="R70" s="44">
        <v>6421</v>
      </c>
      <c r="S70" s="17" t="s">
        <v>31</v>
      </c>
    </row>
    <row r="71" spans="1:19" x14ac:dyDescent="0.25">
      <c r="A71" s="44">
        <v>59</v>
      </c>
      <c r="B71" s="56" t="s">
        <v>111</v>
      </c>
      <c r="C71" s="6">
        <v>1940</v>
      </c>
      <c r="D71" s="39"/>
      <c r="E71" s="6" t="s">
        <v>27</v>
      </c>
      <c r="F71" s="6">
        <v>2</v>
      </c>
      <c r="G71" s="6">
        <v>3</v>
      </c>
      <c r="H71" s="40">
        <v>1256.7</v>
      </c>
      <c r="I71" s="15">
        <v>1143</v>
      </c>
      <c r="J71" s="15">
        <f>I71-72</f>
        <v>1071</v>
      </c>
      <c r="K71" s="41">
        <v>53</v>
      </c>
      <c r="L71" s="36">
        <v>651188</v>
      </c>
      <c r="M71" s="1">
        <v>0</v>
      </c>
      <c r="N71" s="1">
        <v>0</v>
      </c>
      <c r="O71" s="1">
        <f t="shared" si="4"/>
        <v>0</v>
      </c>
      <c r="P71" s="42">
        <f t="shared" si="3"/>
        <v>651188</v>
      </c>
      <c r="Q71" s="1">
        <f t="shared" si="5"/>
        <v>569.71828521434816</v>
      </c>
      <c r="R71" s="44">
        <v>6421</v>
      </c>
      <c r="S71" s="17" t="s">
        <v>31</v>
      </c>
    </row>
    <row r="72" spans="1:19" x14ac:dyDescent="0.25">
      <c r="A72" s="44">
        <v>60</v>
      </c>
      <c r="B72" s="56" t="s">
        <v>104</v>
      </c>
      <c r="C72" s="6">
        <v>1962</v>
      </c>
      <c r="D72" s="39"/>
      <c r="E72" s="6" t="s">
        <v>27</v>
      </c>
      <c r="F72" s="6">
        <v>2</v>
      </c>
      <c r="G72" s="6">
        <v>2</v>
      </c>
      <c r="H72" s="40">
        <v>687.3</v>
      </c>
      <c r="I72" s="15">
        <v>640.4</v>
      </c>
      <c r="J72" s="15">
        <f>I72-83.9</f>
        <v>556.5</v>
      </c>
      <c r="K72" s="41">
        <v>27</v>
      </c>
      <c r="L72" s="36">
        <v>907153.9</v>
      </c>
      <c r="M72" s="1">
        <v>0</v>
      </c>
      <c r="N72" s="1">
        <v>0</v>
      </c>
      <c r="O72" s="1">
        <f t="shared" ref="O72:O77" si="6">N72</f>
        <v>0</v>
      </c>
      <c r="P72" s="42">
        <f t="shared" si="3"/>
        <v>907153.9</v>
      </c>
      <c r="Q72" s="1">
        <f t="shared" ref="Q72:Q77" si="7">L72/I72</f>
        <v>1416.5426296064961</v>
      </c>
      <c r="R72" s="44">
        <v>6421</v>
      </c>
      <c r="S72" s="17" t="s">
        <v>31</v>
      </c>
    </row>
    <row r="73" spans="1:19" s="38" customFormat="1" x14ac:dyDescent="0.25">
      <c r="A73" s="44">
        <v>61</v>
      </c>
      <c r="B73" s="56" t="s">
        <v>110</v>
      </c>
      <c r="C73" s="6">
        <v>1959</v>
      </c>
      <c r="D73" s="39"/>
      <c r="E73" s="6" t="s">
        <v>27</v>
      </c>
      <c r="F73" s="6">
        <v>2</v>
      </c>
      <c r="G73" s="6">
        <v>2</v>
      </c>
      <c r="H73" s="40">
        <v>717.1</v>
      </c>
      <c r="I73" s="15">
        <v>638.6</v>
      </c>
      <c r="J73" s="15">
        <f>I73-39.2</f>
        <v>599.4</v>
      </c>
      <c r="K73" s="41">
        <v>37</v>
      </c>
      <c r="L73" s="36">
        <v>1210747.6399999999</v>
      </c>
      <c r="M73" s="1">
        <v>0</v>
      </c>
      <c r="N73" s="1">
        <v>0</v>
      </c>
      <c r="O73" s="1">
        <f t="shared" si="6"/>
        <v>0</v>
      </c>
      <c r="P73" s="42">
        <f t="shared" si="3"/>
        <v>1210747.6399999999</v>
      </c>
      <c r="Q73" s="1">
        <f t="shared" si="7"/>
        <v>1895.9405574694642</v>
      </c>
      <c r="R73" s="44">
        <v>6421</v>
      </c>
      <c r="S73" s="17" t="s">
        <v>31</v>
      </c>
    </row>
    <row r="74" spans="1:19" x14ac:dyDescent="0.25">
      <c r="A74" s="44">
        <v>62</v>
      </c>
      <c r="B74" s="56" t="s">
        <v>103</v>
      </c>
      <c r="C74" s="6">
        <v>1956</v>
      </c>
      <c r="D74" s="39"/>
      <c r="E74" s="6" t="s">
        <v>27</v>
      </c>
      <c r="F74" s="6">
        <v>4</v>
      </c>
      <c r="G74" s="6">
        <v>4</v>
      </c>
      <c r="H74" s="15">
        <v>5336.3</v>
      </c>
      <c r="I74" s="15">
        <v>4312.6000000000004</v>
      </c>
      <c r="J74" s="15">
        <f>I74-223.8</f>
        <v>4088.8</v>
      </c>
      <c r="K74" s="41">
        <v>152</v>
      </c>
      <c r="L74" s="36">
        <v>1501103.24</v>
      </c>
      <c r="M74" s="1">
        <v>0</v>
      </c>
      <c r="N74" s="1">
        <v>0</v>
      </c>
      <c r="O74" s="1">
        <f t="shared" si="6"/>
        <v>0</v>
      </c>
      <c r="P74" s="42">
        <f t="shared" si="3"/>
        <v>1501103.24</v>
      </c>
      <c r="Q74" s="1">
        <f t="shared" si="7"/>
        <v>348.07383944720118</v>
      </c>
      <c r="R74" s="44">
        <v>6421</v>
      </c>
      <c r="S74" s="17" t="s">
        <v>31</v>
      </c>
    </row>
    <row r="75" spans="1:19" x14ac:dyDescent="0.25">
      <c r="A75" s="44">
        <v>63</v>
      </c>
      <c r="B75" s="56" t="s">
        <v>102</v>
      </c>
      <c r="C75" s="6">
        <v>1951</v>
      </c>
      <c r="D75" s="39"/>
      <c r="E75" s="6" t="s">
        <v>27</v>
      </c>
      <c r="F75" s="6">
        <v>3</v>
      </c>
      <c r="G75" s="6">
        <v>5</v>
      </c>
      <c r="H75" s="40">
        <v>3671.8</v>
      </c>
      <c r="I75" s="40">
        <v>3364.9</v>
      </c>
      <c r="J75" s="15">
        <f>I75-83.4</f>
        <v>3281.5</v>
      </c>
      <c r="K75" s="41">
        <v>68</v>
      </c>
      <c r="L75" s="36">
        <v>2878092.16</v>
      </c>
      <c r="M75" s="1">
        <v>0</v>
      </c>
      <c r="N75" s="1">
        <v>0</v>
      </c>
      <c r="O75" s="1">
        <f t="shared" si="6"/>
        <v>0</v>
      </c>
      <c r="P75" s="42">
        <f t="shared" si="3"/>
        <v>2878092.16</v>
      </c>
      <c r="Q75" s="1">
        <f t="shared" si="7"/>
        <v>855.32769473089843</v>
      </c>
      <c r="R75" s="44">
        <v>6421</v>
      </c>
      <c r="S75" s="17" t="s">
        <v>31</v>
      </c>
    </row>
    <row r="76" spans="1:19" x14ac:dyDescent="0.25">
      <c r="A76" s="44">
        <v>64</v>
      </c>
      <c r="B76" s="56" t="s">
        <v>89</v>
      </c>
      <c r="C76" s="6">
        <v>1958</v>
      </c>
      <c r="D76" s="39"/>
      <c r="E76" s="6" t="s">
        <v>27</v>
      </c>
      <c r="F76" s="6">
        <v>3</v>
      </c>
      <c r="G76" s="6">
        <v>2</v>
      </c>
      <c r="H76" s="15">
        <v>1117.5</v>
      </c>
      <c r="I76" s="6">
        <v>945.9</v>
      </c>
      <c r="J76" s="6">
        <f>I76-0</f>
        <v>945.9</v>
      </c>
      <c r="K76" s="6">
        <v>40</v>
      </c>
      <c r="L76" s="36">
        <v>978584.07</v>
      </c>
      <c r="M76" s="1">
        <v>0</v>
      </c>
      <c r="N76" s="1">
        <v>0</v>
      </c>
      <c r="O76" s="1">
        <f t="shared" si="6"/>
        <v>0</v>
      </c>
      <c r="P76" s="42">
        <f t="shared" si="3"/>
        <v>978584.07</v>
      </c>
      <c r="Q76" s="1">
        <f t="shared" si="7"/>
        <v>1034.5534094513162</v>
      </c>
      <c r="R76" s="44">
        <v>6421</v>
      </c>
      <c r="S76" s="17" t="s">
        <v>31</v>
      </c>
    </row>
    <row r="77" spans="1:19" x14ac:dyDescent="0.25">
      <c r="A77" s="44">
        <v>65</v>
      </c>
      <c r="B77" s="56" t="s">
        <v>106</v>
      </c>
      <c r="C77" s="6">
        <v>1934</v>
      </c>
      <c r="D77" s="39"/>
      <c r="E77" s="6" t="s">
        <v>27</v>
      </c>
      <c r="F77" s="6">
        <v>4</v>
      </c>
      <c r="G77" s="6">
        <v>3</v>
      </c>
      <c r="H77" s="40">
        <v>1993.4</v>
      </c>
      <c r="I77" s="15">
        <v>1830.6</v>
      </c>
      <c r="J77" s="15">
        <f>I77-0</f>
        <v>1830.6</v>
      </c>
      <c r="K77" s="41">
        <v>57</v>
      </c>
      <c r="L77" s="36">
        <v>1470820.58</v>
      </c>
      <c r="M77" s="1">
        <v>0</v>
      </c>
      <c r="N77" s="1">
        <v>0</v>
      </c>
      <c r="O77" s="1">
        <f t="shared" si="6"/>
        <v>0</v>
      </c>
      <c r="P77" s="42">
        <f t="shared" si="3"/>
        <v>1470820.58</v>
      </c>
      <c r="Q77" s="1">
        <f t="shared" si="7"/>
        <v>803.46366218726109</v>
      </c>
      <c r="R77" s="44">
        <v>6421</v>
      </c>
      <c r="S77" s="17" t="s">
        <v>31</v>
      </c>
    </row>
    <row r="78" spans="1:19" x14ac:dyDescent="0.25">
      <c r="A78" s="44">
        <v>66</v>
      </c>
      <c r="B78" s="58" t="s">
        <v>118</v>
      </c>
      <c r="C78" s="6">
        <v>1955</v>
      </c>
      <c r="D78" s="39"/>
      <c r="E78" s="6" t="s">
        <v>27</v>
      </c>
      <c r="F78" s="6">
        <v>4</v>
      </c>
      <c r="G78" s="6">
        <v>3</v>
      </c>
      <c r="H78" s="15">
        <v>2784.4</v>
      </c>
      <c r="I78" s="15">
        <v>2411.9</v>
      </c>
      <c r="J78" s="15">
        <f>I78-0</f>
        <v>2411.9</v>
      </c>
      <c r="K78" s="41">
        <v>79</v>
      </c>
      <c r="L78" s="36">
        <v>618191.81999999995</v>
      </c>
      <c r="M78" s="1">
        <v>0</v>
      </c>
      <c r="N78" s="1">
        <v>0</v>
      </c>
      <c r="O78" s="1">
        <f t="shared" ref="O78:O90" si="8">N78</f>
        <v>0</v>
      </c>
      <c r="P78" s="42">
        <f t="shared" ref="P78:P94" si="9">L78</f>
        <v>618191.81999999995</v>
      </c>
      <c r="Q78" s="1">
        <f t="shared" ref="Q78:Q90" si="10">L78/I78</f>
        <v>256.30905924789585</v>
      </c>
      <c r="R78" s="44">
        <v>6421</v>
      </c>
      <c r="S78" s="17" t="s">
        <v>31</v>
      </c>
    </row>
    <row r="79" spans="1:19" x14ac:dyDescent="0.25">
      <c r="A79" s="44">
        <v>67</v>
      </c>
      <c r="B79" s="56" t="s">
        <v>43</v>
      </c>
      <c r="C79" s="44">
        <v>1956</v>
      </c>
      <c r="D79" s="45">
        <v>2008</v>
      </c>
      <c r="E79" s="45" t="s">
        <v>27</v>
      </c>
      <c r="F79" s="45">
        <v>3</v>
      </c>
      <c r="G79" s="45">
        <v>3</v>
      </c>
      <c r="H79" s="7">
        <v>2342.8000000000002</v>
      </c>
      <c r="I79" s="2">
        <v>2050.6999999999998</v>
      </c>
      <c r="J79" s="2">
        <f>I79-199.8</f>
        <v>1850.8999999999999</v>
      </c>
      <c r="K79" s="3">
        <v>91</v>
      </c>
      <c r="L79" s="37">
        <v>2517713.42</v>
      </c>
      <c r="M79" s="1">
        <v>0</v>
      </c>
      <c r="N79" s="1">
        <v>0</v>
      </c>
      <c r="O79" s="1">
        <f t="shared" si="8"/>
        <v>0</v>
      </c>
      <c r="P79" s="42">
        <f t="shared" si="9"/>
        <v>2517713.42</v>
      </c>
      <c r="Q79" s="1">
        <f t="shared" si="10"/>
        <v>1227.7336616765008</v>
      </c>
      <c r="R79" s="44">
        <v>6421</v>
      </c>
      <c r="S79" s="17" t="s">
        <v>31</v>
      </c>
    </row>
    <row r="80" spans="1:19" x14ac:dyDescent="0.25">
      <c r="A80" s="44">
        <v>68</v>
      </c>
      <c r="B80" s="56" t="s">
        <v>46</v>
      </c>
      <c r="C80" s="44">
        <v>1937</v>
      </c>
      <c r="D80" s="45"/>
      <c r="E80" s="45" t="s">
        <v>27</v>
      </c>
      <c r="F80" s="45">
        <v>4</v>
      </c>
      <c r="G80" s="45">
        <v>4</v>
      </c>
      <c r="H80" s="7">
        <v>2575.9</v>
      </c>
      <c r="I80" s="2">
        <v>2354.9</v>
      </c>
      <c r="J80" s="2">
        <f>I80-335.5</f>
        <v>2019.4</v>
      </c>
      <c r="K80" s="3">
        <v>122</v>
      </c>
      <c r="L80" s="36">
        <v>1601524</v>
      </c>
      <c r="M80" s="1">
        <v>0</v>
      </c>
      <c r="N80" s="1">
        <v>0</v>
      </c>
      <c r="O80" s="1">
        <f t="shared" si="8"/>
        <v>0</v>
      </c>
      <c r="P80" s="42">
        <f t="shared" si="9"/>
        <v>1601524</v>
      </c>
      <c r="Q80" s="1">
        <f t="shared" si="10"/>
        <v>680.08153212450634</v>
      </c>
      <c r="R80" s="44">
        <v>6421</v>
      </c>
      <c r="S80" s="17" t="s">
        <v>31</v>
      </c>
    </row>
    <row r="81" spans="1:19" x14ac:dyDescent="0.25">
      <c r="A81" s="44">
        <v>69</v>
      </c>
      <c r="B81" s="56" t="s">
        <v>49</v>
      </c>
      <c r="C81" s="44">
        <v>1959</v>
      </c>
      <c r="D81" s="45"/>
      <c r="E81" s="45" t="s">
        <v>27</v>
      </c>
      <c r="F81" s="45">
        <v>2</v>
      </c>
      <c r="G81" s="45">
        <v>2</v>
      </c>
      <c r="H81" s="7">
        <v>615.5</v>
      </c>
      <c r="I81" s="2">
        <v>568.20000000000005</v>
      </c>
      <c r="J81" s="2">
        <f>I81-39.4</f>
        <v>528.80000000000007</v>
      </c>
      <c r="K81" s="3">
        <v>29</v>
      </c>
      <c r="L81" s="36">
        <v>491179.94</v>
      </c>
      <c r="M81" s="1">
        <v>0</v>
      </c>
      <c r="N81" s="1">
        <v>0</v>
      </c>
      <c r="O81" s="1">
        <f t="shared" si="8"/>
        <v>0</v>
      </c>
      <c r="P81" s="42">
        <f t="shared" si="9"/>
        <v>491179.94</v>
      </c>
      <c r="Q81" s="1">
        <f t="shared" si="10"/>
        <v>864.44903203097499</v>
      </c>
      <c r="R81" s="44">
        <v>6421</v>
      </c>
      <c r="S81" s="17" t="s">
        <v>31</v>
      </c>
    </row>
    <row r="82" spans="1:19" x14ac:dyDescent="0.25">
      <c r="A82" s="44">
        <v>70</v>
      </c>
      <c r="B82" s="56" t="s">
        <v>61</v>
      </c>
      <c r="C82" s="44">
        <v>1954</v>
      </c>
      <c r="D82" s="45"/>
      <c r="E82" s="45" t="s">
        <v>27</v>
      </c>
      <c r="F82" s="45">
        <v>3</v>
      </c>
      <c r="G82" s="45">
        <v>3</v>
      </c>
      <c r="H82" s="7">
        <v>2438.4</v>
      </c>
      <c r="I82" s="2">
        <v>2262.6999999999998</v>
      </c>
      <c r="J82" s="2">
        <f>I82-242.2</f>
        <v>2020.4999999999998</v>
      </c>
      <c r="K82" s="3">
        <v>70</v>
      </c>
      <c r="L82" s="36">
        <v>2209307.77</v>
      </c>
      <c r="M82" s="1">
        <v>0</v>
      </c>
      <c r="N82" s="1">
        <v>0</v>
      </c>
      <c r="O82" s="1">
        <f t="shared" si="8"/>
        <v>0</v>
      </c>
      <c r="P82" s="42">
        <f t="shared" si="9"/>
        <v>2209307.77</v>
      </c>
      <c r="Q82" s="1">
        <f t="shared" si="10"/>
        <v>976.40331020462293</v>
      </c>
      <c r="R82" s="44">
        <v>6421</v>
      </c>
      <c r="S82" s="17" t="s">
        <v>31</v>
      </c>
    </row>
    <row r="83" spans="1:19" x14ac:dyDescent="0.25">
      <c r="A83" s="44">
        <v>71</v>
      </c>
      <c r="B83" s="56" t="s">
        <v>62</v>
      </c>
      <c r="C83" s="6">
        <v>1953</v>
      </c>
      <c r="D83" s="39"/>
      <c r="E83" s="45" t="s">
        <v>27</v>
      </c>
      <c r="F83" s="45">
        <v>3</v>
      </c>
      <c r="G83" s="45">
        <v>3</v>
      </c>
      <c r="H83" s="15">
        <v>2239.1</v>
      </c>
      <c r="I83" s="6">
        <v>1857.6</v>
      </c>
      <c r="J83" s="6">
        <f>I83-316.2</f>
        <v>1541.3999999999999</v>
      </c>
      <c r="K83" s="6">
        <v>76</v>
      </c>
      <c r="L83" s="36">
        <v>1454781.04</v>
      </c>
      <c r="M83" s="1">
        <v>0</v>
      </c>
      <c r="N83" s="1">
        <v>0</v>
      </c>
      <c r="O83" s="1">
        <f t="shared" si="8"/>
        <v>0</v>
      </c>
      <c r="P83" s="42">
        <f t="shared" si="9"/>
        <v>1454781.04</v>
      </c>
      <c r="Q83" s="1">
        <f t="shared" si="10"/>
        <v>783.15086132644274</v>
      </c>
      <c r="R83" s="44">
        <v>6421</v>
      </c>
      <c r="S83" s="17" t="s">
        <v>31</v>
      </c>
    </row>
    <row r="84" spans="1:19" x14ac:dyDescent="0.25">
      <c r="A84" s="44">
        <v>72</v>
      </c>
      <c r="B84" s="56" t="s">
        <v>92</v>
      </c>
      <c r="C84" s="6">
        <v>1954</v>
      </c>
      <c r="D84" s="39"/>
      <c r="E84" s="6" t="s">
        <v>27</v>
      </c>
      <c r="F84" s="6">
        <v>2</v>
      </c>
      <c r="G84" s="6">
        <v>1</v>
      </c>
      <c r="H84" s="15">
        <v>512.6</v>
      </c>
      <c r="I84" s="15">
        <v>488.4</v>
      </c>
      <c r="J84" s="15">
        <f>I84-75.6</f>
        <v>412.79999999999995</v>
      </c>
      <c r="K84" s="41">
        <v>14</v>
      </c>
      <c r="L84" s="36">
        <v>664144</v>
      </c>
      <c r="M84" s="1">
        <v>0</v>
      </c>
      <c r="N84" s="1">
        <v>0</v>
      </c>
      <c r="O84" s="1">
        <f t="shared" si="8"/>
        <v>0</v>
      </c>
      <c r="P84" s="42">
        <f t="shared" si="9"/>
        <v>664144</v>
      </c>
      <c r="Q84" s="1">
        <f t="shared" si="10"/>
        <v>1359.8361998362</v>
      </c>
      <c r="R84" s="44">
        <v>6421</v>
      </c>
      <c r="S84" s="17" t="s">
        <v>31</v>
      </c>
    </row>
    <row r="85" spans="1:19" x14ac:dyDescent="0.25">
      <c r="A85" s="44">
        <v>73</v>
      </c>
      <c r="B85" s="56" t="s">
        <v>93</v>
      </c>
      <c r="C85" s="6">
        <v>1958</v>
      </c>
      <c r="D85" s="39"/>
      <c r="E85" s="6" t="s">
        <v>27</v>
      </c>
      <c r="F85" s="6">
        <v>3</v>
      </c>
      <c r="G85" s="6">
        <v>2</v>
      </c>
      <c r="H85" s="15">
        <v>1083.4000000000001</v>
      </c>
      <c r="I85" s="15">
        <v>1009.6</v>
      </c>
      <c r="J85" s="15">
        <f>I85-185.3</f>
        <v>824.3</v>
      </c>
      <c r="K85" s="41">
        <v>34</v>
      </c>
      <c r="L85" s="36">
        <v>934772.21</v>
      </c>
      <c r="M85" s="1">
        <v>0</v>
      </c>
      <c r="N85" s="1">
        <v>0</v>
      </c>
      <c r="O85" s="1">
        <f t="shared" si="8"/>
        <v>0</v>
      </c>
      <c r="P85" s="42">
        <f t="shared" si="9"/>
        <v>934772.21</v>
      </c>
      <c r="Q85" s="1">
        <f t="shared" si="10"/>
        <v>925.88372622820918</v>
      </c>
      <c r="R85" s="44">
        <v>6421</v>
      </c>
      <c r="S85" s="17" t="s">
        <v>31</v>
      </c>
    </row>
    <row r="86" spans="1:19" x14ac:dyDescent="0.25">
      <c r="A86" s="44">
        <v>74</v>
      </c>
      <c r="B86" s="56" t="s">
        <v>101</v>
      </c>
      <c r="C86" s="6">
        <v>1914</v>
      </c>
      <c r="D86" s="39"/>
      <c r="E86" s="6" t="s">
        <v>27</v>
      </c>
      <c r="F86" s="6">
        <v>4</v>
      </c>
      <c r="G86" s="6">
        <v>5</v>
      </c>
      <c r="H86" s="15">
        <v>2958.4</v>
      </c>
      <c r="I86" s="15">
        <v>2592.5</v>
      </c>
      <c r="J86" s="15">
        <f>I86-259.1</f>
        <v>2333.4</v>
      </c>
      <c r="K86" s="41">
        <v>112</v>
      </c>
      <c r="L86" s="36">
        <v>1014495.22</v>
      </c>
      <c r="M86" s="1">
        <v>0</v>
      </c>
      <c r="N86" s="1">
        <v>0</v>
      </c>
      <c r="O86" s="1">
        <f t="shared" si="8"/>
        <v>0</v>
      </c>
      <c r="P86" s="42">
        <f t="shared" si="9"/>
        <v>1014495.22</v>
      </c>
      <c r="Q86" s="1">
        <f t="shared" si="10"/>
        <v>391.31927483124394</v>
      </c>
      <c r="R86" s="44">
        <v>6421</v>
      </c>
      <c r="S86" s="17" t="s">
        <v>31</v>
      </c>
    </row>
    <row r="87" spans="1:19" x14ac:dyDescent="0.25">
      <c r="A87" s="44">
        <v>75</v>
      </c>
      <c r="B87" s="56" t="s">
        <v>91</v>
      </c>
      <c r="C87" s="6">
        <v>1950</v>
      </c>
      <c r="D87" s="39"/>
      <c r="E87" s="6" t="s">
        <v>27</v>
      </c>
      <c r="F87" s="6">
        <v>2</v>
      </c>
      <c r="G87" s="6">
        <v>3</v>
      </c>
      <c r="H87" s="15">
        <v>935.7</v>
      </c>
      <c r="I87" s="15">
        <v>885</v>
      </c>
      <c r="J87" s="15">
        <f>I87-405.9</f>
        <v>479.1</v>
      </c>
      <c r="K87" s="41">
        <v>50</v>
      </c>
      <c r="L87" s="36">
        <v>1738513.51</v>
      </c>
      <c r="M87" s="1">
        <v>0</v>
      </c>
      <c r="N87" s="1">
        <v>0</v>
      </c>
      <c r="O87" s="1">
        <f t="shared" si="8"/>
        <v>0</v>
      </c>
      <c r="P87" s="42">
        <f t="shared" si="9"/>
        <v>1738513.51</v>
      </c>
      <c r="Q87" s="1">
        <f t="shared" si="10"/>
        <v>1964.4220451977401</v>
      </c>
      <c r="R87" s="44">
        <v>6421</v>
      </c>
      <c r="S87" s="17" t="s">
        <v>31</v>
      </c>
    </row>
    <row r="88" spans="1:19" x14ac:dyDescent="0.25">
      <c r="A88" s="44">
        <v>76</v>
      </c>
      <c r="B88" s="56" t="s">
        <v>105</v>
      </c>
      <c r="C88" s="6">
        <v>1962</v>
      </c>
      <c r="D88" s="39"/>
      <c r="E88" s="6" t="s">
        <v>27</v>
      </c>
      <c r="F88" s="6">
        <v>5</v>
      </c>
      <c r="G88" s="6">
        <v>6</v>
      </c>
      <c r="H88" s="40">
        <v>6750</v>
      </c>
      <c r="I88" s="15">
        <v>6077.8</v>
      </c>
      <c r="J88" s="15">
        <f>I88-0</f>
        <v>6077.8</v>
      </c>
      <c r="K88" s="41">
        <v>132</v>
      </c>
      <c r="L88" s="36">
        <v>3448770.54</v>
      </c>
      <c r="M88" s="1">
        <v>0</v>
      </c>
      <c r="N88" s="1">
        <v>0</v>
      </c>
      <c r="O88" s="1">
        <f t="shared" si="8"/>
        <v>0</v>
      </c>
      <c r="P88" s="42">
        <f t="shared" si="9"/>
        <v>3448770.54</v>
      </c>
      <c r="Q88" s="1">
        <f t="shared" si="10"/>
        <v>567.43731942479189</v>
      </c>
      <c r="R88" s="44">
        <v>6421</v>
      </c>
      <c r="S88" s="17" t="s">
        <v>31</v>
      </c>
    </row>
    <row r="89" spans="1:19" x14ac:dyDescent="0.25">
      <c r="A89" s="44">
        <v>77</v>
      </c>
      <c r="B89" s="56" t="s">
        <v>55</v>
      </c>
      <c r="C89" s="44">
        <v>1957</v>
      </c>
      <c r="D89" s="45">
        <v>2010</v>
      </c>
      <c r="E89" s="45" t="s">
        <v>27</v>
      </c>
      <c r="F89" s="45">
        <v>4</v>
      </c>
      <c r="G89" s="45">
        <v>3</v>
      </c>
      <c r="H89" s="7">
        <v>2904.9</v>
      </c>
      <c r="I89" s="2">
        <v>2501.3000000000002</v>
      </c>
      <c r="J89" s="2">
        <f>I89-129.8</f>
        <v>2371.5</v>
      </c>
      <c r="K89" s="3">
        <v>102</v>
      </c>
      <c r="L89" s="36">
        <v>2674089.0699999998</v>
      </c>
      <c r="M89" s="1">
        <v>0</v>
      </c>
      <c r="N89" s="1">
        <v>0</v>
      </c>
      <c r="O89" s="1">
        <f t="shared" si="8"/>
        <v>0</v>
      </c>
      <c r="P89" s="42">
        <f t="shared" si="9"/>
        <v>2674089.0699999998</v>
      </c>
      <c r="Q89" s="1">
        <f t="shared" si="10"/>
        <v>1069.0797065525926</v>
      </c>
      <c r="R89" s="44">
        <v>6421</v>
      </c>
      <c r="S89" s="17" t="s">
        <v>31</v>
      </c>
    </row>
    <row r="90" spans="1:19" x14ac:dyDescent="0.25">
      <c r="A90" s="44">
        <v>78</v>
      </c>
      <c r="B90" s="56" t="s">
        <v>115</v>
      </c>
      <c r="C90" s="6">
        <v>1984</v>
      </c>
      <c r="D90" s="39"/>
      <c r="E90" s="6" t="s">
        <v>27</v>
      </c>
      <c r="F90" s="6">
        <v>5</v>
      </c>
      <c r="G90" s="6">
        <v>4</v>
      </c>
      <c r="H90" s="15">
        <v>3040.6</v>
      </c>
      <c r="I90" s="15">
        <v>2743.8</v>
      </c>
      <c r="J90" s="15">
        <f>I90-475.4</f>
        <v>2268.4</v>
      </c>
      <c r="K90" s="41">
        <v>136</v>
      </c>
      <c r="L90" s="36">
        <v>2534483.6500000004</v>
      </c>
      <c r="M90" s="1">
        <v>0</v>
      </c>
      <c r="N90" s="1">
        <v>0</v>
      </c>
      <c r="O90" s="1">
        <f t="shared" si="8"/>
        <v>0</v>
      </c>
      <c r="P90" s="42">
        <f t="shared" si="9"/>
        <v>2534483.6500000004</v>
      </c>
      <c r="Q90" s="1">
        <f t="shared" si="10"/>
        <v>923.71297106203087</v>
      </c>
      <c r="R90" s="44">
        <v>6421</v>
      </c>
      <c r="S90" s="17" t="s">
        <v>31</v>
      </c>
    </row>
    <row r="91" spans="1:19" x14ac:dyDescent="0.25">
      <c r="A91" s="44">
        <v>79</v>
      </c>
      <c r="B91" s="56" t="s">
        <v>114</v>
      </c>
      <c r="C91" s="6">
        <v>1971</v>
      </c>
      <c r="D91" s="39"/>
      <c r="E91" s="6" t="s">
        <v>30</v>
      </c>
      <c r="F91" s="6">
        <v>5</v>
      </c>
      <c r="G91" s="6">
        <v>6</v>
      </c>
      <c r="H91" s="40">
        <v>4828.3999999999996</v>
      </c>
      <c r="I91" s="15">
        <v>4418.3</v>
      </c>
      <c r="J91" s="15">
        <f>I91-948.4</f>
        <v>3469.9</v>
      </c>
      <c r="K91" s="41">
        <v>200</v>
      </c>
      <c r="L91" s="35">
        <v>4388153.04</v>
      </c>
      <c r="M91" s="1">
        <v>0</v>
      </c>
      <c r="N91" s="1">
        <v>0</v>
      </c>
      <c r="O91" s="1">
        <f>N91</f>
        <v>0</v>
      </c>
      <c r="P91" s="42">
        <f t="shared" si="9"/>
        <v>4388153.04</v>
      </c>
      <c r="Q91" s="1">
        <f>L91/I91</f>
        <v>993.17679650544324</v>
      </c>
      <c r="R91" s="44">
        <v>6421</v>
      </c>
      <c r="S91" s="17" t="s">
        <v>31</v>
      </c>
    </row>
    <row r="92" spans="1:19" x14ac:dyDescent="0.25">
      <c r="A92" s="44">
        <v>80</v>
      </c>
      <c r="B92" s="56" t="s">
        <v>77</v>
      </c>
      <c r="C92" s="6">
        <v>1956</v>
      </c>
      <c r="D92" s="6">
        <v>2009</v>
      </c>
      <c r="E92" s="6" t="s">
        <v>27</v>
      </c>
      <c r="F92" s="11">
        <v>4</v>
      </c>
      <c r="G92" s="11">
        <v>2</v>
      </c>
      <c r="H92" s="15">
        <v>2707.9</v>
      </c>
      <c r="I92" s="6">
        <v>2256.1999999999998</v>
      </c>
      <c r="J92" s="6">
        <f>I92-179.2</f>
        <v>2077</v>
      </c>
      <c r="K92" s="6">
        <v>89</v>
      </c>
      <c r="L92" s="36">
        <v>1026381.29</v>
      </c>
      <c r="M92" s="1">
        <v>0</v>
      </c>
      <c r="N92" s="1">
        <v>0</v>
      </c>
      <c r="O92" s="1">
        <f>N92</f>
        <v>0</v>
      </c>
      <c r="P92" s="42">
        <f t="shared" si="9"/>
        <v>1026381.29</v>
      </c>
      <c r="Q92" s="1">
        <f>L92/I92</f>
        <v>454.91591614218601</v>
      </c>
      <c r="R92" s="44">
        <v>6421</v>
      </c>
      <c r="S92" s="17" t="s">
        <v>31</v>
      </c>
    </row>
    <row r="93" spans="1:19" x14ac:dyDescent="0.25">
      <c r="A93" s="44">
        <v>81</v>
      </c>
      <c r="B93" s="56" t="s">
        <v>84</v>
      </c>
      <c r="C93" s="6">
        <v>1961</v>
      </c>
      <c r="D93" s="39"/>
      <c r="E93" s="6" t="s">
        <v>27</v>
      </c>
      <c r="F93" s="11">
        <v>5</v>
      </c>
      <c r="G93" s="11">
        <v>4</v>
      </c>
      <c r="H93" s="15">
        <v>3450</v>
      </c>
      <c r="I93" s="6">
        <v>3207.8</v>
      </c>
      <c r="J93" s="6">
        <f>I93-196.8</f>
        <v>3011</v>
      </c>
      <c r="K93" s="6">
        <v>157</v>
      </c>
      <c r="L93" s="36">
        <v>2061153.2</v>
      </c>
      <c r="M93" s="1">
        <v>0</v>
      </c>
      <c r="N93" s="1">
        <v>0</v>
      </c>
      <c r="O93" s="1">
        <f>N93</f>
        <v>0</v>
      </c>
      <c r="P93" s="42">
        <f t="shared" si="9"/>
        <v>2061153.2</v>
      </c>
      <c r="Q93" s="1">
        <f>L93/I93</f>
        <v>642.54417357690625</v>
      </c>
      <c r="R93" s="44">
        <v>6421</v>
      </c>
      <c r="S93" s="17" t="s">
        <v>31</v>
      </c>
    </row>
    <row r="94" spans="1:19" x14ac:dyDescent="0.25">
      <c r="A94" s="44">
        <v>82</v>
      </c>
      <c r="B94" s="56" t="s">
        <v>125</v>
      </c>
      <c r="C94" s="6">
        <v>1958</v>
      </c>
      <c r="D94" s="39"/>
      <c r="E94" s="6" t="s">
        <v>126</v>
      </c>
      <c r="F94" s="11">
        <v>3</v>
      </c>
      <c r="G94" s="11">
        <v>3</v>
      </c>
      <c r="H94" s="15">
        <v>1560.4</v>
      </c>
      <c r="I94" s="6">
        <v>1516.8</v>
      </c>
      <c r="J94" s="6">
        <v>1355.9</v>
      </c>
      <c r="K94" s="6">
        <v>59</v>
      </c>
      <c r="L94" s="36">
        <v>644528.38</v>
      </c>
      <c r="M94" s="1">
        <v>0</v>
      </c>
      <c r="N94" s="1">
        <v>0</v>
      </c>
      <c r="O94" s="1">
        <f>N94</f>
        <v>0</v>
      </c>
      <c r="P94" s="42">
        <f t="shared" si="9"/>
        <v>644528.38</v>
      </c>
      <c r="Q94" s="1">
        <f>L94/I94</f>
        <v>424.92641086497889</v>
      </c>
      <c r="R94" s="44">
        <v>6421</v>
      </c>
      <c r="S94" s="17" t="s">
        <v>31</v>
      </c>
    </row>
    <row r="95" spans="1:19" x14ac:dyDescent="0.25">
      <c r="A95" s="44"/>
      <c r="B95" s="60" t="s">
        <v>37</v>
      </c>
      <c r="C95" s="6"/>
      <c r="D95" s="6"/>
      <c r="E95" s="6"/>
      <c r="F95" s="6"/>
      <c r="G95" s="6"/>
      <c r="H95" s="61">
        <f>SUM(H13:H94)</f>
        <v>266407</v>
      </c>
      <c r="I95" s="61">
        <f t="shared" ref="I95:P95" si="11">SUM(I13:I94)</f>
        <v>241817.19999999995</v>
      </c>
      <c r="J95" s="61">
        <f t="shared" si="11"/>
        <v>214469.23999999987</v>
      </c>
      <c r="K95" s="61">
        <f t="shared" si="11"/>
        <v>10341</v>
      </c>
      <c r="L95" s="61">
        <f t="shared" si="11"/>
        <v>113852285.36999999</v>
      </c>
      <c r="M95" s="62">
        <f t="shared" si="11"/>
        <v>0</v>
      </c>
      <c r="N95" s="63">
        <v>0</v>
      </c>
      <c r="O95" s="63">
        <v>0</v>
      </c>
      <c r="P95" s="61">
        <f t="shared" si="11"/>
        <v>113852285.36999999</v>
      </c>
      <c r="Q95" s="61"/>
      <c r="R95" s="61"/>
      <c r="S95" s="61"/>
    </row>
    <row r="96" spans="1:19" x14ac:dyDescent="0.25">
      <c r="S96" s="34"/>
    </row>
    <row r="97" spans="1:21" ht="15" customHeight="1" x14ac:dyDescent="0.35">
      <c r="A97" s="29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1" ht="15" customHeight="1" x14ac:dyDescent="0.35">
      <c r="A98" s="29"/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1" ht="15" customHeight="1" x14ac:dyDescent="0.35">
      <c r="A99" s="29"/>
      <c r="B99" s="46" t="s">
        <v>38</v>
      </c>
      <c r="C99" s="46"/>
      <c r="D99" s="47"/>
      <c r="E99" s="47"/>
      <c r="F99" s="47"/>
      <c r="G99" s="47"/>
      <c r="H99" s="47"/>
      <c r="I99" s="47"/>
      <c r="J99" s="47"/>
      <c r="K99" s="47"/>
      <c r="L99" s="48"/>
      <c r="M99" s="49"/>
      <c r="N99" s="48"/>
      <c r="O99" s="49"/>
      <c r="P99" s="50"/>
      <c r="Q99" s="49"/>
      <c r="R99" s="50"/>
      <c r="S99" s="49"/>
      <c r="T99" s="32"/>
      <c r="U99" s="32"/>
    </row>
    <row r="100" spans="1:21" ht="15" customHeight="1" x14ac:dyDescent="0.35">
      <c r="A100" s="29"/>
      <c r="B100" s="51" t="s">
        <v>39</v>
      </c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 t="s">
        <v>32</v>
      </c>
      <c r="O100" s="52"/>
      <c r="P100" s="52"/>
      <c r="Q100" s="52"/>
      <c r="R100" s="52"/>
      <c r="S100" s="52"/>
      <c r="T100" s="31"/>
      <c r="U100" s="31"/>
    </row>
    <row r="101" spans="1:21" ht="15" customHeight="1" x14ac:dyDescent="0.35">
      <c r="A101" s="29"/>
      <c r="B101" s="46"/>
      <c r="C101" s="46"/>
      <c r="D101" s="47"/>
      <c r="E101" s="47"/>
      <c r="F101" s="47"/>
      <c r="G101" s="47"/>
      <c r="H101" s="47"/>
      <c r="I101" s="47"/>
      <c r="J101" s="47"/>
      <c r="K101" s="47"/>
      <c r="L101" s="48"/>
      <c r="M101" s="49"/>
      <c r="N101" s="48"/>
      <c r="O101" s="49"/>
      <c r="P101" s="50"/>
      <c r="Q101" s="49"/>
      <c r="R101" s="50"/>
      <c r="S101" s="49"/>
      <c r="T101" s="32"/>
      <c r="U101" s="32"/>
    </row>
    <row r="102" spans="1:21" ht="15" customHeight="1" x14ac:dyDescent="0.25"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</row>
    <row r="103" spans="1:21" ht="15" customHeight="1" x14ac:dyDescent="0.25"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</row>
    <row r="104" spans="1:21" ht="15" customHeight="1" x14ac:dyDescent="0.25">
      <c r="B104" s="54" t="s">
        <v>33</v>
      </c>
      <c r="C104" s="54"/>
      <c r="D104" s="54"/>
      <c r="E104" s="54"/>
      <c r="F104" s="54"/>
      <c r="G104" s="54"/>
      <c r="H104" s="54"/>
      <c r="I104" s="54"/>
      <c r="J104" s="54"/>
      <c r="K104" s="54"/>
      <c r="L104" s="54" t="s">
        <v>33</v>
      </c>
      <c r="M104" s="53"/>
      <c r="N104" s="53"/>
      <c r="O104" s="53"/>
      <c r="P104" s="53"/>
      <c r="Q104" s="53"/>
      <c r="R104" s="53"/>
      <c r="S104" s="53"/>
    </row>
    <row r="105" spans="1:21" ht="15" customHeight="1" x14ac:dyDescent="0.25">
      <c r="B105" s="54" t="s">
        <v>34</v>
      </c>
      <c r="C105" s="54"/>
      <c r="D105" s="54"/>
      <c r="E105" s="54"/>
      <c r="F105" s="54"/>
      <c r="G105" s="54"/>
      <c r="H105" s="54"/>
      <c r="I105" s="54"/>
      <c r="J105" s="54"/>
      <c r="K105" s="54"/>
      <c r="L105" s="54" t="s">
        <v>123</v>
      </c>
      <c r="M105" s="53"/>
      <c r="N105" s="53"/>
      <c r="O105" s="53"/>
      <c r="P105" s="53"/>
      <c r="Q105" s="53"/>
      <c r="R105" s="53"/>
      <c r="S105" s="53"/>
    </row>
    <row r="106" spans="1:21" ht="15" customHeight="1" x14ac:dyDescent="0.25">
      <c r="B106" s="54" t="s">
        <v>128</v>
      </c>
      <c r="C106" s="54"/>
      <c r="D106" s="54"/>
      <c r="E106" s="54"/>
      <c r="F106" s="54"/>
      <c r="G106" s="54"/>
      <c r="H106" s="54"/>
      <c r="I106" s="54"/>
      <c r="J106" s="54"/>
      <c r="K106" s="54"/>
      <c r="L106" s="54" t="s">
        <v>124</v>
      </c>
      <c r="M106" s="53"/>
      <c r="N106" s="53"/>
      <c r="O106" s="53"/>
      <c r="P106" s="53"/>
      <c r="Q106" s="53"/>
      <c r="R106" s="53"/>
      <c r="S106" s="53"/>
    </row>
    <row r="107" spans="1:21" ht="15.75" x14ac:dyDescent="0.25"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</row>
  </sheetData>
  <mergeCells count="24">
    <mergeCell ref="A12:S12"/>
    <mergeCell ref="Q6:Q8"/>
    <mergeCell ref="R6:R8"/>
    <mergeCell ref="S6:S9"/>
    <mergeCell ref="H6:H8"/>
    <mergeCell ref="I6:J6"/>
    <mergeCell ref="M7:P7"/>
    <mergeCell ref="A11:B11"/>
    <mergeCell ref="C6:D6"/>
    <mergeCell ref="E6:E9"/>
    <mergeCell ref="L7:L8"/>
    <mergeCell ref="A4:S4"/>
    <mergeCell ref="A6:A9"/>
    <mergeCell ref="B6:B9"/>
    <mergeCell ref="M1:S1"/>
    <mergeCell ref="D7:D9"/>
    <mergeCell ref="A5:S5"/>
    <mergeCell ref="K6:K8"/>
    <mergeCell ref="L6:P6"/>
    <mergeCell ref="F6:F9"/>
    <mergeCell ref="G6:G9"/>
    <mergeCell ref="C7:C9"/>
    <mergeCell ref="I7:I8"/>
    <mergeCell ref="J7:J8"/>
  </mergeCells>
  <phoneticPr fontId="8" type="noConversion"/>
  <pageMargins left="0.31" right="0.26" top="0.47" bottom="0.70866141732283472" header="0.31496062992125984" footer="0.31496062992125984"/>
  <pageSetup paperSize="9" scale="48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03"/>
  <sheetViews>
    <sheetView view="pageBreakPreview" topLeftCell="A52" zoomScale="60" zoomScaleNormal="70" workbookViewId="0">
      <selection activeCell="G4" sqref="G4"/>
    </sheetView>
  </sheetViews>
  <sheetFormatPr defaultRowHeight="15" x14ac:dyDescent="0.25"/>
  <cols>
    <col min="1" max="1" width="4.140625" customWidth="1"/>
    <col min="2" max="2" width="30.140625" customWidth="1"/>
    <col min="3" max="3" width="20.42578125" customWidth="1"/>
    <col min="4" max="4" width="17.140625" customWidth="1"/>
    <col min="5" max="5" width="13.85546875" customWidth="1"/>
    <col min="6" max="6" width="14.140625" customWidth="1"/>
    <col min="7" max="7" width="13.7109375" customWidth="1"/>
    <col min="8" max="8" width="14.7109375" customWidth="1"/>
    <col min="9" max="9" width="13.85546875" customWidth="1"/>
    <col min="10" max="10" width="12" customWidth="1"/>
    <col min="11" max="11" width="7" customWidth="1"/>
    <col min="12" max="12" width="16" customWidth="1"/>
    <col min="13" max="13" width="12" customWidth="1"/>
    <col min="14" max="14" width="15.5703125" customWidth="1"/>
    <col min="15" max="15" width="9.28515625" customWidth="1"/>
    <col min="16" max="16" width="12.85546875" customWidth="1"/>
    <col min="17" max="17" width="11.140625" customWidth="1"/>
    <col min="18" max="18" width="15.42578125" customWidth="1"/>
    <col min="19" max="20" width="9.28515625" customWidth="1"/>
    <col min="21" max="21" width="12.42578125" hidden="1" customWidth="1"/>
    <col min="22" max="23" width="13.5703125" hidden="1" customWidth="1"/>
    <col min="24" max="24" width="9.5703125" customWidth="1"/>
  </cols>
  <sheetData>
    <row r="2" spans="1:25" ht="20.25" customHeight="1" x14ac:dyDescent="0.25">
      <c r="A2" s="130" t="s">
        <v>129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64"/>
      <c r="V2" s="64"/>
      <c r="W2" s="64"/>
      <c r="X2" s="65"/>
      <c r="Y2" s="66"/>
    </row>
    <row r="3" spans="1:25" ht="15" customHeight="1" x14ac:dyDescent="0.25">
      <c r="A3" s="131" t="s">
        <v>130</v>
      </c>
      <c r="B3" s="131" t="s">
        <v>25</v>
      </c>
      <c r="C3" s="131" t="s">
        <v>131</v>
      </c>
      <c r="D3" s="131" t="s">
        <v>132</v>
      </c>
      <c r="E3" s="133"/>
      <c r="F3" s="133"/>
      <c r="G3" s="133"/>
      <c r="H3" s="133"/>
      <c r="I3" s="133"/>
      <c r="J3" s="133"/>
      <c r="K3" s="131" t="s">
        <v>133</v>
      </c>
      <c r="L3" s="134"/>
      <c r="M3" s="131" t="s">
        <v>134</v>
      </c>
      <c r="N3" s="135"/>
      <c r="O3" s="131" t="s">
        <v>135</v>
      </c>
      <c r="P3" s="135"/>
      <c r="Q3" s="131" t="s">
        <v>136</v>
      </c>
      <c r="R3" s="135"/>
      <c r="S3" s="131" t="s">
        <v>137</v>
      </c>
      <c r="T3" s="135"/>
      <c r="U3" s="131" t="s">
        <v>138</v>
      </c>
      <c r="V3" s="131" t="s">
        <v>139</v>
      </c>
      <c r="W3" s="3"/>
      <c r="X3" s="138" t="s">
        <v>140</v>
      </c>
      <c r="Y3" s="66"/>
    </row>
    <row r="4" spans="1:25" ht="165.75" customHeight="1" x14ac:dyDescent="0.25">
      <c r="A4" s="131"/>
      <c r="B4" s="131"/>
      <c r="C4" s="132"/>
      <c r="D4" s="3" t="s">
        <v>141</v>
      </c>
      <c r="E4" s="67" t="s">
        <v>142</v>
      </c>
      <c r="F4" s="67" t="s">
        <v>143</v>
      </c>
      <c r="G4" s="67" t="s">
        <v>144</v>
      </c>
      <c r="H4" s="67" t="s">
        <v>145</v>
      </c>
      <c r="I4" s="67" t="s">
        <v>146</v>
      </c>
      <c r="J4" s="67" t="s">
        <v>147</v>
      </c>
      <c r="K4" s="134"/>
      <c r="L4" s="134"/>
      <c r="M4" s="135"/>
      <c r="N4" s="135"/>
      <c r="O4" s="135"/>
      <c r="P4" s="135"/>
      <c r="Q4" s="135"/>
      <c r="R4" s="135"/>
      <c r="S4" s="135"/>
      <c r="T4" s="135"/>
      <c r="U4" s="133"/>
      <c r="V4" s="131"/>
      <c r="W4" s="3" t="s">
        <v>148</v>
      </c>
      <c r="X4" s="139"/>
      <c r="Y4" s="66"/>
    </row>
    <row r="5" spans="1:25" x14ac:dyDescent="0.25">
      <c r="A5" s="131"/>
      <c r="B5" s="131"/>
      <c r="C5" s="3"/>
      <c r="D5" s="3"/>
      <c r="E5" s="3" t="s">
        <v>22</v>
      </c>
      <c r="F5" s="3" t="s">
        <v>22</v>
      </c>
      <c r="G5" s="3" t="s">
        <v>22</v>
      </c>
      <c r="H5" s="3" t="s">
        <v>22</v>
      </c>
      <c r="I5" s="3" t="s">
        <v>22</v>
      </c>
      <c r="J5" s="3" t="s">
        <v>22</v>
      </c>
      <c r="K5" s="3" t="s">
        <v>149</v>
      </c>
      <c r="L5" s="3" t="s">
        <v>22</v>
      </c>
      <c r="M5" s="3" t="s">
        <v>150</v>
      </c>
      <c r="N5" s="3" t="s">
        <v>22</v>
      </c>
      <c r="O5" s="3" t="s">
        <v>150</v>
      </c>
      <c r="P5" s="3" t="s">
        <v>22</v>
      </c>
      <c r="Q5" s="3" t="s">
        <v>150</v>
      </c>
      <c r="R5" s="3" t="s">
        <v>22</v>
      </c>
      <c r="S5" s="3" t="s">
        <v>151</v>
      </c>
      <c r="T5" s="3" t="s">
        <v>22</v>
      </c>
      <c r="U5" s="3" t="s">
        <v>22</v>
      </c>
      <c r="V5" s="3" t="s">
        <v>22</v>
      </c>
      <c r="W5" s="3"/>
      <c r="X5" s="68"/>
      <c r="Y5" s="66"/>
    </row>
    <row r="6" spans="1:25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2">
        <v>18</v>
      </c>
      <c r="S6" s="2">
        <v>19</v>
      </c>
      <c r="T6" s="2">
        <v>20</v>
      </c>
      <c r="U6" s="2">
        <v>21</v>
      </c>
      <c r="V6" s="2">
        <v>22</v>
      </c>
      <c r="W6" s="2">
        <v>23</v>
      </c>
      <c r="X6" s="2">
        <v>21</v>
      </c>
    </row>
    <row r="7" spans="1:25" ht="29.25" customHeight="1" x14ac:dyDescent="0.25">
      <c r="A7" s="136" t="s">
        <v>127</v>
      </c>
      <c r="B7" s="137"/>
      <c r="C7" s="37">
        <f t="shared" ref="C7:R7" si="0">SUM(C10:C91)</f>
        <v>113852285.36999999</v>
      </c>
      <c r="D7" s="37">
        <f t="shared" si="0"/>
        <v>14486776.129999999</v>
      </c>
      <c r="E7" s="37">
        <f t="shared" si="0"/>
        <v>4651024.1500000004</v>
      </c>
      <c r="F7" s="37">
        <f t="shared" si="0"/>
        <v>2894223.0700000003</v>
      </c>
      <c r="G7" s="37">
        <f t="shared" si="0"/>
        <v>2734196.31</v>
      </c>
      <c r="H7" s="37">
        <f t="shared" si="0"/>
        <v>1245495.42</v>
      </c>
      <c r="I7" s="37">
        <f t="shared" si="0"/>
        <v>2849409.92</v>
      </c>
      <c r="J7" s="37">
        <f t="shared" si="0"/>
        <v>112427.26</v>
      </c>
      <c r="K7" s="69">
        <f t="shared" si="0"/>
        <v>7</v>
      </c>
      <c r="L7" s="37">
        <f t="shared" si="0"/>
        <v>11200000</v>
      </c>
      <c r="M7" s="37">
        <f t="shared" si="0"/>
        <v>49041.700000000004</v>
      </c>
      <c r="N7" s="37">
        <f t="shared" si="0"/>
        <v>71546394.87000002</v>
      </c>
      <c r="O7" s="37">
        <f t="shared" si="0"/>
        <v>464</v>
      </c>
      <c r="P7" s="37">
        <f t="shared" si="0"/>
        <v>787922.59</v>
      </c>
      <c r="Q7" s="37">
        <f t="shared" si="0"/>
        <v>20216.7</v>
      </c>
      <c r="R7" s="37">
        <f t="shared" si="0"/>
        <v>15831191.780000003</v>
      </c>
      <c r="S7" s="70">
        <v>0</v>
      </c>
      <c r="T7" s="70">
        <v>0</v>
      </c>
      <c r="U7" s="71" t="e">
        <f>SUM(U10:U91)</f>
        <v>#REF!</v>
      </c>
      <c r="V7" s="71" t="e">
        <f>SUM(V10:V91)</f>
        <v>#REF!</v>
      </c>
      <c r="W7" s="71" t="e">
        <f>SUM(W10:W91)</f>
        <v>#REF!</v>
      </c>
      <c r="X7" s="71"/>
    </row>
    <row r="8" spans="1:25" x14ac:dyDescent="0.25">
      <c r="A8" s="128" t="s">
        <v>152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72"/>
      <c r="V8" s="72"/>
      <c r="W8" s="72"/>
      <c r="X8" s="68"/>
    </row>
    <row r="9" spans="1:25" x14ac:dyDescent="0.25">
      <c r="A9" s="128" t="s">
        <v>168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</row>
    <row r="10" spans="1:25" ht="15" customHeight="1" x14ac:dyDescent="0.25">
      <c r="A10" s="3">
        <v>1</v>
      </c>
      <c r="B10" s="73" t="s">
        <v>40</v>
      </c>
      <c r="C10" s="35">
        <f t="shared" ref="C10:C73" si="1">SUM(E10:J10)+L10+N10+P10+R10+T10</f>
        <v>2127545.71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3">
        <v>0</v>
      </c>
      <c r="L10" s="74">
        <v>0</v>
      </c>
      <c r="M10" s="3">
        <v>1473</v>
      </c>
      <c r="N10" s="74">
        <v>2127545.71</v>
      </c>
      <c r="O10" s="3">
        <v>0</v>
      </c>
      <c r="P10" s="74">
        <v>0</v>
      </c>
      <c r="Q10" s="3">
        <v>0</v>
      </c>
      <c r="R10" s="74">
        <v>0</v>
      </c>
      <c r="S10" s="3">
        <v>0</v>
      </c>
      <c r="T10" s="74">
        <v>0</v>
      </c>
      <c r="U10" s="74" t="e">
        <f>#REF!*0.08</f>
        <v>#REF!</v>
      </c>
      <c r="V10" s="74" t="e">
        <f>#REF!*0.0214</f>
        <v>#REF!</v>
      </c>
      <c r="W10" s="74" t="e">
        <f>#REF!+U10+V10</f>
        <v>#REF!</v>
      </c>
      <c r="X10" s="68"/>
    </row>
    <row r="11" spans="1:25" ht="15" customHeight="1" x14ac:dyDescent="0.25">
      <c r="A11" s="3">
        <v>2</v>
      </c>
      <c r="B11" s="73" t="s">
        <v>41</v>
      </c>
      <c r="C11" s="35">
        <f t="shared" si="1"/>
        <v>601717.39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3">
        <v>0</v>
      </c>
      <c r="L11" s="74">
        <v>0</v>
      </c>
      <c r="M11" s="3">
        <v>465</v>
      </c>
      <c r="N11" s="74">
        <v>601717.39</v>
      </c>
      <c r="O11" s="3">
        <v>0</v>
      </c>
      <c r="P11" s="74">
        <v>0</v>
      </c>
      <c r="Q11" s="3">
        <v>0</v>
      </c>
      <c r="R11" s="74">
        <v>0</v>
      </c>
      <c r="S11" s="3">
        <v>0</v>
      </c>
      <c r="T11" s="74">
        <v>0</v>
      </c>
      <c r="U11" s="74" t="e">
        <f>#REF!*0.08</f>
        <v>#REF!</v>
      </c>
      <c r="V11" s="74" t="e">
        <f>#REF!*0.0214</f>
        <v>#REF!</v>
      </c>
      <c r="W11" s="74" t="e">
        <f>#REF!+U11+V11</f>
        <v>#REF!</v>
      </c>
      <c r="X11" s="68"/>
    </row>
    <row r="12" spans="1:25" ht="15" customHeight="1" x14ac:dyDescent="0.25">
      <c r="A12" s="3">
        <v>3</v>
      </c>
      <c r="B12" s="73" t="s">
        <v>42</v>
      </c>
      <c r="C12" s="35">
        <f t="shared" si="1"/>
        <v>358562.25</v>
      </c>
      <c r="D12" s="35">
        <f>SUM(E12:J12)</f>
        <v>358562.25</v>
      </c>
      <c r="E12" s="74">
        <v>358562.25</v>
      </c>
      <c r="F12" s="74">
        <v>0</v>
      </c>
      <c r="G12" s="74">
        <v>0</v>
      </c>
      <c r="H12" s="74">
        <v>0</v>
      </c>
      <c r="I12" s="74">
        <v>0</v>
      </c>
      <c r="J12" s="74">
        <v>0</v>
      </c>
      <c r="K12" s="3">
        <v>0</v>
      </c>
      <c r="L12" s="74">
        <v>0</v>
      </c>
      <c r="M12" s="3">
        <v>0</v>
      </c>
      <c r="N12" s="74">
        <v>0</v>
      </c>
      <c r="O12" s="3">
        <v>0</v>
      </c>
      <c r="P12" s="74">
        <v>0</v>
      </c>
      <c r="Q12" s="3">
        <v>0</v>
      </c>
      <c r="R12" s="74">
        <v>0</v>
      </c>
      <c r="S12" s="3">
        <v>0</v>
      </c>
      <c r="T12" s="74">
        <v>0</v>
      </c>
      <c r="U12" s="74" t="e">
        <f>#REF!*0.08</f>
        <v>#REF!</v>
      </c>
      <c r="V12" s="74" t="e">
        <f>#REF!*0.0214</f>
        <v>#REF!</v>
      </c>
      <c r="W12" s="74" t="e">
        <f>#REF!+U12+V12</f>
        <v>#REF!</v>
      </c>
      <c r="X12" s="68"/>
    </row>
    <row r="13" spans="1:25" ht="15" customHeight="1" x14ac:dyDescent="0.25">
      <c r="A13" s="3">
        <v>4</v>
      </c>
      <c r="B13" s="73" t="s">
        <v>44</v>
      </c>
      <c r="C13" s="35">
        <f t="shared" si="1"/>
        <v>1190687.6499999999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3">
        <v>0</v>
      </c>
      <c r="L13" s="74">
        <v>0</v>
      </c>
      <c r="M13" s="3">
        <v>780</v>
      </c>
      <c r="N13" s="74">
        <v>1190687.6499999999</v>
      </c>
      <c r="O13" s="3">
        <v>0</v>
      </c>
      <c r="P13" s="74">
        <v>0</v>
      </c>
      <c r="Q13" s="3">
        <v>0</v>
      </c>
      <c r="R13" s="74">
        <v>0</v>
      </c>
      <c r="S13" s="3">
        <v>0</v>
      </c>
      <c r="T13" s="74">
        <v>0</v>
      </c>
      <c r="U13" s="74" t="e">
        <f>#REF!*0.08</f>
        <v>#REF!</v>
      </c>
      <c r="V13" s="74" t="e">
        <f>#REF!*0.0214</f>
        <v>#REF!</v>
      </c>
      <c r="W13" s="74" t="e">
        <f>#REF!+U13+V13</f>
        <v>#REF!</v>
      </c>
      <c r="X13" s="68"/>
    </row>
    <row r="14" spans="1:25" ht="15" customHeight="1" x14ac:dyDescent="0.25">
      <c r="A14" s="3">
        <v>5</v>
      </c>
      <c r="B14" s="73" t="s">
        <v>47</v>
      </c>
      <c r="C14" s="35">
        <f t="shared" si="1"/>
        <v>490095.3</v>
      </c>
      <c r="D14" s="35">
        <f>SUM(E14:J14)</f>
        <v>490095.3</v>
      </c>
      <c r="E14" s="74">
        <v>490095.3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3">
        <v>0</v>
      </c>
      <c r="L14" s="74">
        <v>0</v>
      </c>
      <c r="M14" s="3">
        <v>0</v>
      </c>
      <c r="N14" s="74">
        <v>0</v>
      </c>
      <c r="O14" s="3">
        <v>0</v>
      </c>
      <c r="P14" s="74">
        <v>0</v>
      </c>
      <c r="Q14" s="3">
        <v>0</v>
      </c>
      <c r="R14" s="74">
        <v>0</v>
      </c>
      <c r="S14" s="3">
        <v>0</v>
      </c>
      <c r="T14" s="74">
        <v>0</v>
      </c>
      <c r="U14" s="74" t="e">
        <f>#REF!*0.08</f>
        <v>#REF!</v>
      </c>
      <c r="V14" s="74" t="e">
        <f>#REF!*0.0214</f>
        <v>#REF!</v>
      </c>
      <c r="W14" s="74" t="e">
        <f>#REF!+U14+V14</f>
        <v>#REF!</v>
      </c>
      <c r="X14" s="68"/>
    </row>
    <row r="15" spans="1:25" ht="15" customHeight="1" x14ac:dyDescent="0.25">
      <c r="A15" s="3">
        <v>6</v>
      </c>
      <c r="B15" s="73" t="s">
        <v>48</v>
      </c>
      <c r="C15" s="35">
        <f t="shared" si="1"/>
        <v>1107816.3</v>
      </c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3">
        <v>0</v>
      </c>
      <c r="L15" s="74">
        <v>0</v>
      </c>
      <c r="M15" s="3">
        <v>686</v>
      </c>
      <c r="N15" s="74">
        <v>1107816.3</v>
      </c>
      <c r="O15" s="3">
        <v>0</v>
      </c>
      <c r="P15" s="74">
        <v>0</v>
      </c>
      <c r="Q15" s="3">
        <v>0</v>
      </c>
      <c r="R15" s="74">
        <v>0</v>
      </c>
      <c r="S15" s="3">
        <v>0</v>
      </c>
      <c r="T15" s="74">
        <v>0</v>
      </c>
      <c r="U15" s="74" t="e">
        <f>#REF!*0.08</f>
        <v>#REF!</v>
      </c>
      <c r="V15" s="74" t="e">
        <f>#REF!*0.0214</f>
        <v>#REF!</v>
      </c>
      <c r="W15" s="74" t="e">
        <f>#REF!+U15+V15</f>
        <v>#REF!</v>
      </c>
      <c r="X15" s="68"/>
    </row>
    <row r="16" spans="1:25" ht="15" customHeight="1" x14ac:dyDescent="0.25">
      <c r="A16" s="3">
        <v>7</v>
      </c>
      <c r="B16" s="73" t="s">
        <v>50</v>
      </c>
      <c r="C16" s="35">
        <f t="shared" si="1"/>
        <v>112427.26</v>
      </c>
      <c r="D16" s="35">
        <f>SUM(E16:J16)</f>
        <v>112427.26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112427.26</v>
      </c>
      <c r="K16" s="3">
        <v>0</v>
      </c>
      <c r="L16" s="74">
        <v>0</v>
      </c>
      <c r="M16" s="3">
        <v>0</v>
      </c>
      <c r="N16" s="74">
        <v>0</v>
      </c>
      <c r="O16" s="3">
        <v>0</v>
      </c>
      <c r="P16" s="74">
        <v>0</v>
      </c>
      <c r="Q16" s="3">
        <v>0</v>
      </c>
      <c r="R16" s="74">
        <v>0</v>
      </c>
      <c r="S16" s="3">
        <v>0</v>
      </c>
      <c r="T16" s="74">
        <v>0</v>
      </c>
      <c r="U16" s="74" t="e">
        <f>#REF!*0.08</f>
        <v>#REF!</v>
      </c>
      <c r="V16" s="74" t="e">
        <f>#REF!*0.0214</f>
        <v>#REF!</v>
      </c>
      <c r="W16" s="74" t="e">
        <f>#REF!+U16+V16</f>
        <v>#REF!</v>
      </c>
      <c r="X16" s="68"/>
    </row>
    <row r="17" spans="1:24" x14ac:dyDescent="0.25">
      <c r="A17" s="3">
        <v>8</v>
      </c>
      <c r="B17" s="73" t="s">
        <v>51</v>
      </c>
      <c r="C17" s="35">
        <f t="shared" si="1"/>
        <v>1483047.5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3">
        <v>0</v>
      </c>
      <c r="L17" s="74">
        <v>0</v>
      </c>
      <c r="M17" s="3">
        <v>854</v>
      </c>
      <c r="N17" s="74">
        <v>1483047.5</v>
      </c>
      <c r="O17" s="3">
        <v>0</v>
      </c>
      <c r="P17" s="74">
        <v>0</v>
      </c>
      <c r="Q17" s="3">
        <v>0</v>
      </c>
      <c r="R17" s="74">
        <v>0</v>
      </c>
      <c r="S17" s="3">
        <v>0</v>
      </c>
      <c r="T17" s="74">
        <v>0</v>
      </c>
      <c r="U17" s="74" t="e">
        <f>#REF!*0.08</f>
        <v>#REF!</v>
      </c>
      <c r="V17" s="74" t="e">
        <f>#REF!*0.0214</f>
        <v>#REF!</v>
      </c>
      <c r="W17" s="74" t="e">
        <f>#REF!+U17+V17</f>
        <v>#REF!</v>
      </c>
      <c r="X17" s="68"/>
    </row>
    <row r="18" spans="1:24" x14ac:dyDescent="0.25">
      <c r="A18" s="3">
        <v>9</v>
      </c>
      <c r="B18" s="73" t="s">
        <v>52</v>
      </c>
      <c r="C18" s="35">
        <f t="shared" si="1"/>
        <v>680133.88</v>
      </c>
      <c r="D18" s="35">
        <f>SUM(E18:J18)</f>
        <v>680133.88</v>
      </c>
      <c r="E18" s="74">
        <v>680133.88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3">
        <v>0</v>
      </c>
      <c r="L18" s="74">
        <v>0</v>
      </c>
      <c r="M18" s="3">
        <v>0</v>
      </c>
      <c r="N18" s="74">
        <v>0</v>
      </c>
      <c r="O18" s="3">
        <v>0</v>
      </c>
      <c r="P18" s="74">
        <v>0</v>
      </c>
      <c r="Q18" s="3">
        <v>0</v>
      </c>
      <c r="R18" s="74">
        <v>0</v>
      </c>
      <c r="S18" s="3">
        <v>0</v>
      </c>
      <c r="T18" s="74">
        <v>0</v>
      </c>
      <c r="U18" s="74" t="e">
        <f>#REF!*0.08</f>
        <v>#REF!</v>
      </c>
      <c r="V18" s="74" t="e">
        <f>#REF!*0.0214</f>
        <v>#REF!</v>
      </c>
      <c r="W18" s="74" t="e">
        <f>#REF!+U18+V18</f>
        <v>#REF!</v>
      </c>
      <c r="X18" s="68"/>
    </row>
    <row r="19" spans="1:24" s="23" customFormat="1" x14ac:dyDescent="0.25">
      <c r="A19" s="3">
        <v>10</v>
      </c>
      <c r="B19" s="73" t="s">
        <v>54</v>
      </c>
      <c r="C19" s="35">
        <f t="shared" si="1"/>
        <v>289473.34999999998</v>
      </c>
      <c r="D19" s="35">
        <f>SUM(E19:J19)</f>
        <v>289473.34999999998</v>
      </c>
      <c r="E19" s="74">
        <v>289473.34999999998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3">
        <v>0</v>
      </c>
      <c r="L19" s="74">
        <v>0</v>
      </c>
      <c r="M19" s="3">
        <v>0</v>
      </c>
      <c r="N19" s="74">
        <v>0</v>
      </c>
      <c r="O19" s="2">
        <v>0</v>
      </c>
      <c r="P19" s="74">
        <v>0</v>
      </c>
      <c r="Q19" s="2">
        <v>0</v>
      </c>
      <c r="R19" s="74">
        <v>0</v>
      </c>
      <c r="S19" s="3">
        <v>0</v>
      </c>
      <c r="T19" s="74">
        <v>0</v>
      </c>
      <c r="U19" s="74" t="e">
        <f>#REF!*0.08</f>
        <v>#REF!</v>
      </c>
      <c r="V19" s="74" t="e">
        <f>#REF!*0.0214</f>
        <v>#REF!</v>
      </c>
      <c r="W19" s="74" t="e">
        <f>#REF!+U19+V19</f>
        <v>#REF!</v>
      </c>
      <c r="X19" s="68"/>
    </row>
    <row r="20" spans="1:24" s="23" customFormat="1" x14ac:dyDescent="0.25">
      <c r="A20" s="3">
        <v>11</v>
      </c>
      <c r="B20" s="73" t="s">
        <v>56</v>
      </c>
      <c r="C20" s="35">
        <f t="shared" si="1"/>
        <v>1689093.37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3">
        <v>0</v>
      </c>
      <c r="L20" s="74">
        <v>0</v>
      </c>
      <c r="M20" s="2">
        <v>1299</v>
      </c>
      <c r="N20" s="74">
        <v>1689093.37</v>
      </c>
      <c r="O20" s="2">
        <v>0</v>
      </c>
      <c r="P20" s="74">
        <v>0</v>
      </c>
      <c r="Q20" s="2">
        <v>0</v>
      </c>
      <c r="R20" s="74">
        <v>0</v>
      </c>
      <c r="S20" s="3">
        <v>0</v>
      </c>
      <c r="T20" s="74">
        <v>0</v>
      </c>
      <c r="U20" s="74" t="e">
        <f>#REF!*0.08</f>
        <v>#REF!</v>
      </c>
      <c r="V20" s="74" t="e">
        <f>#REF!*0.0214</f>
        <v>#REF!</v>
      </c>
      <c r="W20" s="74" t="e">
        <f>#REF!+U20+V20</f>
        <v>#REF!</v>
      </c>
      <c r="X20" s="68"/>
    </row>
    <row r="21" spans="1:24" s="23" customFormat="1" x14ac:dyDescent="0.25">
      <c r="A21" s="3">
        <v>12</v>
      </c>
      <c r="B21" s="73" t="s">
        <v>57</v>
      </c>
      <c r="C21" s="35">
        <f t="shared" si="1"/>
        <v>830929.7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3">
        <v>0</v>
      </c>
      <c r="L21" s="74">
        <v>0</v>
      </c>
      <c r="M21" s="2">
        <v>562</v>
      </c>
      <c r="N21" s="74">
        <v>830929.7</v>
      </c>
      <c r="O21" s="2">
        <v>0</v>
      </c>
      <c r="P21" s="74">
        <v>0</v>
      </c>
      <c r="Q21" s="2">
        <v>0</v>
      </c>
      <c r="R21" s="74">
        <v>0</v>
      </c>
      <c r="S21" s="3">
        <v>0</v>
      </c>
      <c r="T21" s="74">
        <v>0</v>
      </c>
      <c r="U21" s="74" t="e">
        <f>#REF!*0.08</f>
        <v>#REF!</v>
      </c>
      <c r="V21" s="74" t="e">
        <f>#REF!*0.0214</f>
        <v>#REF!</v>
      </c>
      <c r="W21" s="74" t="e">
        <f>#REF!+U21+V21</f>
        <v>#REF!</v>
      </c>
      <c r="X21" s="68"/>
    </row>
    <row r="22" spans="1:24" s="23" customFormat="1" x14ac:dyDescent="0.25">
      <c r="A22" s="3">
        <v>13</v>
      </c>
      <c r="B22" s="73" t="s">
        <v>58</v>
      </c>
      <c r="C22" s="35">
        <f t="shared" si="1"/>
        <v>319310.40999999997</v>
      </c>
      <c r="D22" s="35">
        <f>SUM(E22:J22)</f>
        <v>319310.40999999997</v>
      </c>
      <c r="E22" s="74">
        <v>319310.40999999997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3">
        <v>0</v>
      </c>
      <c r="L22" s="74">
        <v>0</v>
      </c>
      <c r="M22" s="2">
        <v>0</v>
      </c>
      <c r="N22" s="74">
        <v>0</v>
      </c>
      <c r="O22" s="2">
        <v>0</v>
      </c>
      <c r="P22" s="74">
        <v>0</v>
      </c>
      <c r="Q22" s="2">
        <v>0</v>
      </c>
      <c r="R22" s="74">
        <v>0</v>
      </c>
      <c r="S22" s="3">
        <v>0</v>
      </c>
      <c r="T22" s="74">
        <v>0</v>
      </c>
      <c r="U22" s="74" t="e">
        <f>#REF!*0.08</f>
        <v>#REF!</v>
      </c>
      <c r="V22" s="74" t="e">
        <f>#REF!*0.0214</f>
        <v>#REF!</v>
      </c>
      <c r="W22" s="74" t="e">
        <f>#REF!+U22+V22</f>
        <v>#REF!</v>
      </c>
      <c r="X22" s="68"/>
    </row>
    <row r="23" spans="1:24" s="23" customFormat="1" x14ac:dyDescent="0.25">
      <c r="A23" s="3">
        <v>14</v>
      </c>
      <c r="B23" s="73" t="s">
        <v>59</v>
      </c>
      <c r="C23" s="35">
        <f t="shared" si="1"/>
        <v>700947.14</v>
      </c>
      <c r="D23" s="35">
        <f>SUM(E23:J23)</f>
        <v>700947.14</v>
      </c>
      <c r="E23" s="74">
        <v>700947.14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3">
        <v>0</v>
      </c>
      <c r="L23" s="74">
        <v>0</v>
      </c>
      <c r="M23" s="2">
        <v>0</v>
      </c>
      <c r="N23" s="74">
        <v>0</v>
      </c>
      <c r="O23" s="2">
        <v>0</v>
      </c>
      <c r="P23" s="74">
        <v>0</v>
      </c>
      <c r="Q23" s="2">
        <v>0</v>
      </c>
      <c r="R23" s="74">
        <v>0</v>
      </c>
      <c r="S23" s="3">
        <v>0</v>
      </c>
      <c r="T23" s="74">
        <v>0</v>
      </c>
      <c r="U23" s="74" t="e">
        <f>#REF!*0.08</f>
        <v>#REF!</v>
      </c>
      <c r="V23" s="74" t="e">
        <f>#REF!*0.0214</f>
        <v>#REF!</v>
      </c>
      <c r="W23" s="74" t="e">
        <f>#REF!+U23+V23</f>
        <v>#REF!</v>
      </c>
      <c r="X23" s="68"/>
    </row>
    <row r="24" spans="1:24" x14ac:dyDescent="0.25">
      <c r="A24" s="3">
        <v>15</v>
      </c>
      <c r="B24" s="73" t="s">
        <v>60</v>
      </c>
      <c r="C24" s="35">
        <f t="shared" si="1"/>
        <v>1391306.75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3">
        <v>0</v>
      </c>
      <c r="L24" s="74">
        <v>0</v>
      </c>
      <c r="M24" s="2">
        <v>939.6</v>
      </c>
      <c r="N24" s="74">
        <v>1391306.75</v>
      </c>
      <c r="O24" s="2">
        <v>0</v>
      </c>
      <c r="P24" s="74">
        <v>0</v>
      </c>
      <c r="Q24" s="2">
        <v>0</v>
      </c>
      <c r="R24" s="74">
        <v>0</v>
      </c>
      <c r="S24" s="3">
        <v>0</v>
      </c>
      <c r="T24" s="74">
        <v>0</v>
      </c>
      <c r="U24" s="74" t="e">
        <f>#REF!*0.08</f>
        <v>#REF!</v>
      </c>
      <c r="V24" s="74" t="e">
        <f>#REF!*0.0214</f>
        <v>#REF!</v>
      </c>
      <c r="W24" s="74" t="e">
        <f>#REF!+U24+V24</f>
        <v>#REF!</v>
      </c>
      <c r="X24" s="68"/>
    </row>
    <row r="25" spans="1:24" s="23" customFormat="1" x14ac:dyDescent="0.25">
      <c r="A25" s="3">
        <v>16</v>
      </c>
      <c r="B25" s="73" t="s">
        <v>63</v>
      </c>
      <c r="C25" s="35">
        <f t="shared" si="1"/>
        <v>1326085.24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3">
        <v>0</v>
      </c>
      <c r="L25" s="74">
        <v>0</v>
      </c>
      <c r="M25" s="2">
        <v>782</v>
      </c>
      <c r="N25" s="74">
        <v>1326085.24</v>
      </c>
      <c r="O25" s="2">
        <v>0</v>
      </c>
      <c r="P25" s="74">
        <v>0</v>
      </c>
      <c r="Q25" s="2">
        <v>0</v>
      </c>
      <c r="R25" s="74">
        <v>0</v>
      </c>
      <c r="S25" s="3">
        <v>0</v>
      </c>
      <c r="T25" s="74">
        <v>0</v>
      </c>
      <c r="U25" s="74" t="e">
        <f>#REF!*0.08</f>
        <v>#REF!</v>
      </c>
      <c r="V25" s="74" t="e">
        <f>#REF!*0.0214</f>
        <v>#REF!</v>
      </c>
      <c r="W25" s="74" t="e">
        <f>#REF!+U25+V25</f>
        <v>#REF!</v>
      </c>
      <c r="X25" s="68"/>
    </row>
    <row r="26" spans="1:24" s="23" customFormat="1" x14ac:dyDescent="0.25">
      <c r="A26" s="3">
        <v>17</v>
      </c>
      <c r="B26" s="73" t="s">
        <v>64</v>
      </c>
      <c r="C26" s="35">
        <f t="shared" si="1"/>
        <v>2368912.0499999998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3">
        <v>0</v>
      </c>
      <c r="L26" s="74">
        <v>0</v>
      </c>
      <c r="M26" s="2">
        <v>1652.5</v>
      </c>
      <c r="N26" s="74">
        <v>2368912.0499999998</v>
      </c>
      <c r="O26" s="2">
        <v>0</v>
      </c>
      <c r="P26" s="74">
        <v>0</v>
      </c>
      <c r="Q26" s="2">
        <v>0</v>
      </c>
      <c r="R26" s="74">
        <v>0</v>
      </c>
      <c r="S26" s="3">
        <v>0</v>
      </c>
      <c r="T26" s="74">
        <v>0</v>
      </c>
      <c r="U26" s="74" t="e">
        <f>#REF!*0.08</f>
        <v>#REF!</v>
      </c>
      <c r="V26" s="74" t="e">
        <f>#REF!*0.0214</f>
        <v>#REF!</v>
      </c>
      <c r="W26" s="74" t="e">
        <f>#REF!+U26+V26</f>
        <v>#REF!</v>
      </c>
      <c r="X26" s="68"/>
    </row>
    <row r="27" spans="1:24" s="23" customFormat="1" x14ac:dyDescent="0.25">
      <c r="A27" s="3">
        <v>18</v>
      </c>
      <c r="B27" s="73" t="s">
        <v>65</v>
      </c>
      <c r="C27" s="35">
        <f t="shared" si="1"/>
        <v>1198452.8600000001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3">
        <v>0</v>
      </c>
      <c r="L27" s="74">
        <v>0</v>
      </c>
      <c r="M27" s="2">
        <v>787</v>
      </c>
      <c r="N27" s="74">
        <v>1198452.8600000001</v>
      </c>
      <c r="O27" s="2">
        <v>0</v>
      </c>
      <c r="P27" s="74">
        <v>0</v>
      </c>
      <c r="Q27" s="2">
        <v>0</v>
      </c>
      <c r="R27" s="74">
        <v>0</v>
      </c>
      <c r="S27" s="3">
        <v>0</v>
      </c>
      <c r="T27" s="74">
        <v>0</v>
      </c>
      <c r="U27" s="74" t="e">
        <f>#REF!*0.08</f>
        <v>#REF!</v>
      </c>
      <c r="V27" s="74" t="e">
        <f>#REF!*0.0214</f>
        <v>#REF!</v>
      </c>
      <c r="W27" s="74" t="e">
        <f>#REF!+U27+V27</f>
        <v>#REF!</v>
      </c>
      <c r="X27" s="68"/>
    </row>
    <row r="28" spans="1:24" s="23" customFormat="1" ht="25.5" x14ac:dyDescent="0.25">
      <c r="A28" s="3">
        <v>19</v>
      </c>
      <c r="B28" s="73" t="s">
        <v>66</v>
      </c>
      <c r="C28" s="35">
        <f t="shared" si="1"/>
        <v>916460.97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3">
        <v>0</v>
      </c>
      <c r="L28" s="74">
        <v>0</v>
      </c>
      <c r="M28" s="2">
        <v>588</v>
      </c>
      <c r="N28" s="74">
        <v>916460.97</v>
      </c>
      <c r="O28" s="2">
        <v>0</v>
      </c>
      <c r="P28" s="74">
        <v>0</v>
      </c>
      <c r="Q28" s="2">
        <v>0</v>
      </c>
      <c r="R28" s="74">
        <v>0</v>
      </c>
      <c r="S28" s="3">
        <v>0</v>
      </c>
      <c r="T28" s="74">
        <v>0</v>
      </c>
      <c r="U28" s="74" t="e">
        <f>#REF!*0.08</f>
        <v>#REF!</v>
      </c>
      <c r="V28" s="74" t="e">
        <f>#REF!*0.0214</f>
        <v>#REF!</v>
      </c>
      <c r="W28" s="74" t="e">
        <f>#REF!+U28+V28</f>
        <v>#REF!</v>
      </c>
      <c r="X28" s="68"/>
    </row>
    <row r="29" spans="1:24" s="23" customFormat="1" ht="25.5" x14ac:dyDescent="0.25">
      <c r="A29" s="3">
        <v>20</v>
      </c>
      <c r="B29" s="73" t="s">
        <v>67</v>
      </c>
      <c r="C29" s="35">
        <f t="shared" si="1"/>
        <v>746967.53</v>
      </c>
      <c r="D29" s="35">
        <f>SUM(E29:J29)</f>
        <v>746967.53</v>
      </c>
      <c r="E29" s="74">
        <v>746967.53</v>
      </c>
      <c r="F29" s="74">
        <v>0</v>
      </c>
      <c r="G29" s="74">
        <v>0</v>
      </c>
      <c r="H29" s="74">
        <v>0</v>
      </c>
      <c r="I29" s="74">
        <v>0</v>
      </c>
      <c r="J29" s="74">
        <v>0</v>
      </c>
      <c r="K29" s="3">
        <v>0</v>
      </c>
      <c r="L29" s="74">
        <v>0</v>
      </c>
      <c r="M29" s="2">
        <v>0</v>
      </c>
      <c r="N29" s="74">
        <v>0</v>
      </c>
      <c r="O29" s="2">
        <v>0</v>
      </c>
      <c r="P29" s="74">
        <v>0</v>
      </c>
      <c r="Q29" s="2">
        <v>0</v>
      </c>
      <c r="R29" s="74">
        <v>0</v>
      </c>
      <c r="S29" s="3">
        <v>0</v>
      </c>
      <c r="T29" s="74">
        <v>0</v>
      </c>
      <c r="U29" s="74" t="e">
        <f>#REF!*0.08</f>
        <v>#REF!</v>
      </c>
      <c r="V29" s="74" t="e">
        <f>#REF!*0.0214</f>
        <v>#REF!</v>
      </c>
      <c r="W29" s="74" t="e">
        <f>#REF!+U29+V29</f>
        <v>#REF!</v>
      </c>
      <c r="X29" s="68"/>
    </row>
    <row r="30" spans="1:24" s="23" customFormat="1" x14ac:dyDescent="0.25">
      <c r="A30" s="3">
        <v>21</v>
      </c>
      <c r="B30" s="73" t="s">
        <v>68</v>
      </c>
      <c r="C30" s="35">
        <f t="shared" si="1"/>
        <v>447649.83</v>
      </c>
      <c r="D30" s="35">
        <f>SUM(E30:J30)</f>
        <v>447649.83</v>
      </c>
      <c r="E30" s="74">
        <v>0</v>
      </c>
      <c r="F30" s="74">
        <v>447649.83</v>
      </c>
      <c r="G30" s="74">
        <v>0</v>
      </c>
      <c r="H30" s="74">
        <v>0</v>
      </c>
      <c r="I30" s="74">
        <v>0</v>
      </c>
      <c r="J30" s="74">
        <v>0</v>
      </c>
      <c r="K30" s="3">
        <v>0</v>
      </c>
      <c r="L30" s="74">
        <v>0</v>
      </c>
      <c r="M30" s="2">
        <v>0</v>
      </c>
      <c r="N30" s="74">
        <v>0</v>
      </c>
      <c r="O30" s="2">
        <v>0</v>
      </c>
      <c r="P30" s="74">
        <v>0</v>
      </c>
      <c r="Q30" s="2">
        <v>0</v>
      </c>
      <c r="R30" s="74">
        <v>0</v>
      </c>
      <c r="S30" s="3">
        <v>0</v>
      </c>
      <c r="T30" s="74">
        <v>0</v>
      </c>
      <c r="U30" s="74" t="e">
        <f>#REF!*0.08</f>
        <v>#REF!</v>
      </c>
      <c r="V30" s="74" t="e">
        <f>#REF!*0.0214</f>
        <v>#REF!</v>
      </c>
      <c r="W30" s="74" t="e">
        <f>#REF!+U30+V30</f>
        <v>#REF!</v>
      </c>
      <c r="X30" s="68"/>
    </row>
    <row r="31" spans="1:24" s="23" customFormat="1" x14ac:dyDescent="0.25">
      <c r="A31" s="3">
        <v>22</v>
      </c>
      <c r="B31" s="73" t="s">
        <v>70</v>
      </c>
      <c r="C31" s="35">
        <f t="shared" si="1"/>
        <v>844573.48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v>0</v>
      </c>
      <c r="J31" s="74">
        <v>0</v>
      </c>
      <c r="K31" s="3">
        <v>0</v>
      </c>
      <c r="L31" s="74">
        <v>0</v>
      </c>
      <c r="M31" s="2">
        <v>1031.5999999999999</v>
      </c>
      <c r="N31" s="74">
        <v>844573.48</v>
      </c>
      <c r="O31" s="2">
        <v>0</v>
      </c>
      <c r="P31" s="74">
        <v>0</v>
      </c>
      <c r="Q31" s="2">
        <v>0</v>
      </c>
      <c r="R31" s="74">
        <v>0</v>
      </c>
      <c r="S31" s="3">
        <v>0</v>
      </c>
      <c r="T31" s="74">
        <v>0</v>
      </c>
      <c r="U31" s="74" t="e">
        <f>#REF!*0.08</f>
        <v>#REF!</v>
      </c>
      <c r="V31" s="74" t="e">
        <f>#REF!*0.0214</f>
        <v>#REF!</v>
      </c>
      <c r="W31" s="74" t="e">
        <f>#REF!+U31+V31</f>
        <v>#REF!</v>
      </c>
      <c r="X31" s="68"/>
    </row>
    <row r="32" spans="1:24" s="23" customFormat="1" x14ac:dyDescent="0.25">
      <c r="A32" s="3">
        <v>23</v>
      </c>
      <c r="B32" s="73" t="s">
        <v>71</v>
      </c>
      <c r="C32" s="35">
        <f t="shared" si="1"/>
        <v>752501.01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3">
        <v>0</v>
      </c>
      <c r="L32" s="74">
        <v>0</v>
      </c>
      <c r="M32" s="2">
        <v>941.6</v>
      </c>
      <c r="N32" s="74">
        <v>752501.01</v>
      </c>
      <c r="O32" s="2">
        <v>0</v>
      </c>
      <c r="P32" s="74">
        <v>0</v>
      </c>
      <c r="Q32" s="2">
        <v>0</v>
      </c>
      <c r="R32" s="74">
        <v>0</v>
      </c>
      <c r="S32" s="3">
        <v>0</v>
      </c>
      <c r="T32" s="74">
        <v>0</v>
      </c>
      <c r="U32" s="74" t="e">
        <f>#REF!*0.08</f>
        <v>#REF!</v>
      </c>
      <c r="V32" s="74" t="e">
        <f>#REF!*0.0214</f>
        <v>#REF!</v>
      </c>
      <c r="W32" s="74" t="e">
        <f>#REF!+U32+V32</f>
        <v>#REF!</v>
      </c>
      <c r="X32" s="68"/>
    </row>
    <row r="33" spans="1:24" s="23" customFormat="1" ht="15" customHeight="1" x14ac:dyDescent="0.25">
      <c r="A33" s="3">
        <v>24</v>
      </c>
      <c r="B33" s="73" t="s">
        <v>72</v>
      </c>
      <c r="C33" s="35">
        <f t="shared" si="1"/>
        <v>751374.12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3">
        <v>0</v>
      </c>
      <c r="L33" s="74">
        <v>0</v>
      </c>
      <c r="M33" s="2">
        <v>826.7</v>
      </c>
      <c r="N33" s="74">
        <v>751374.12</v>
      </c>
      <c r="O33" s="2">
        <v>0</v>
      </c>
      <c r="P33" s="74">
        <v>0</v>
      </c>
      <c r="Q33" s="2">
        <v>0</v>
      </c>
      <c r="R33" s="74">
        <v>0</v>
      </c>
      <c r="S33" s="3">
        <v>0</v>
      </c>
      <c r="T33" s="74">
        <v>0</v>
      </c>
      <c r="U33" s="74" t="e">
        <f>#REF!*0.08</f>
        <v>#REF!</v>
      </c>
      <c r="V33" s="74" t="e">
        <f>#REF!*0.0214</f>
        <v>#REF!</v>
      </c>
      <c r="W33" s="74" t="e">
        <f>#REF!+U33+V33</f>
        <v>#REF!</v>
      </c>
      <c r="X33" s="68"/>
    </row>
    <row r="34" spans="1:24" s="23" customFormat="1" ht="15" customHeight="1" x14ac:dyDescent="0.25">
      <c r="A34" s="3">
        <v>25</v>
      </c>
      <c r="B34" s="73" t="s">
        <v>73</v>
      </c>
      <c r="C34" s="35">
        <f t="shared" si="1"/>
        <v>949651.62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3">
        <v>0</v>
      </c>
      <c r="L34" s="74">
        <v>0</v>
      </c>
      <c r="M34" s="2">
        <v>1319.8</v>
      </c>
      <c r="N34" s="74">
        <v>949651.62</v>
      </c>
      <c r="O34" s="2">
        <v>0</v>
      </c>
      <c r="P34" s="74">
        <v>0</v>
      </c>
      <c r="Q34" s="2">
        <v>0</v>
      </c>
      <c r="R34" s="74">
        <v>0</v>
      </c>
      <c r="S34" s="3">
        <v>0</v>
      </c>
      <c r="T34" s="74">
        <v>0</v>
      </c>
      <c r="U34" s="74" t="e">
        <f>#REF!*0.08</f>
        <v>#REF!</v>
      </c>
      <c r="V34" s="74" t="e">
        <f>#REF!*0.0214</f>
        <v>#REF!</v>
      </c>
      <c r="W34" s="74" t="e">
        <f>#REF!+U34+V34</f>
        <v>#REF!</v>
      </c>
      <c r="X34" s="68"/>
    </row>
    <row r="35" spans="1:24" s="23" customFormat="1" ht="15" customHeight="1" x14ac:dyDescent="0.25">
      <c r="A35" s="3">
        <v>26</v>
      </c>
      <c r="B35" s="73" t="s">
        <v>75</v>
      </c>
      <c r="C35" s="35">
        <f t="shared" si="1"/>
        <v>2008145.94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3">
        <v>0</v>
      </c>
      <c r="L35" s="74">
        <v>0</v>
      </c>
      <c r="M35" s="2">
        <v>1539</v>
      </c>
      <c r="N35" s="74">
        <v>2008145.94</v>
      </c>
      <c r="O35" s="2">
        <v>0</v>
      </c>
      <c r="P35" s="74">
        <v>0</v>
      </c>
      <c r="Q35" s="2">
        <v>0</v>
      </c>
      <c r="R35" s="74">
        <v>0</v>
      </c>
      <c r="S35" s="2">
        <v>0</v>
      </c>
      <c r="T35" s="74">
        <v>0</v>
      </c>
      <c r="U35" s="74" t="e">
        <f>#REF!*0.08</f>
        <v>#REF!</v>
      </c>
      <c r="V35" s="74" t="e">
        <f>#REF!*0.0214</f>
        <v>#REF!</v>
      </c>
      <c r="W35" s="74" t="e">
        <f>#REF!+U35+V35</f>
        <v>#REF!</v>
      </c>
      <c r="X35" s="68"/>
    </row>
    <row r="36" spans="1:24" s="23" customFormat="1" ht="15" customHeight="1" x14ac:dyDescent="0.25">
      <c r="A36" s="3">
        <v>27</v>
      </c>
      <c r="B36" s="73" t="s">
        <v>76</v>
      </c>
      <c r="C36" s="35">
        <f t="shared" si="1"/>
        <v>1652745.81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3">
        <v>0</v>
      </c>
      <c r="L36" s="74">
        <v>0</v>
      </c>
      <c r="M36" s="2">
        <v>1709.9</v>
      </c>
      <c r="N36" s="74">
        <v>1652745.81</v>
      </c>
      <c r="O36" s="2">
        <v>0</v>
      </c>
      <c r="P36" s="74">
        <v>0</v>
      </c>
      <c r="Q36" s="2">
        <v>0</v>
      </c>
      <c r="R36" s="74">
        <v>0</v>
      </c>
      <c r="S36" s="2">
        <v>0</v>
      </c>
      <c r="T36" s="74">
        <v>0</v>
      </c>
      <c r="U36" s="74" t="e">
        <f>#REF!*0.08</f>
        <v>#REF!</v>
      </c>
      <c r="V36" s="74" t="e">
        <f>#REF!*0.0214</f>
        <v>#REF!</v>
      </c>
      <c r="W36" s="74" t="e">
        <f>#REF!+U36+V36</f>
        <v>#REF!</v>
      </c>
      <c r="X36" s="68"/>
    </row>
    <row r="37" spans="1:24" s="23" customFormat="1" ht="15" customHeight="1" x14ac:dyDescent="0.25">
      <c r="A37" s="111">
        <v>28</v>
      </c>
      <c r="B37" s="112" t="s">
        <v>78</v>
      </c>
      <c r="C37" s="113">
        <f t="shared" si="1"/>
        <v>452038.6</v>
      </c>
      <c r="D37" s="114">
        <v>0</v>
      </c>
      <c r="E37" s="114">
        <v>0</v>
      </c>
      <c r="F37" s="114">
        <v>0</v>
      </c>
      <c r="G37" s="114">
        <v>0</v>
      </c>
      <c r="H37" s="114">
        <v>0</v>
      </c>
      <c r="I37" s="114">
        <v>0</v>
      </c>
      <c r="J37" s="114">
        <v>0</v>
      </c>
      <c r="K37" s="111">
        <v>0</v>
      </c>
      <c r="L37" s="114">
        <v>0</v>
      </c>
      <c r="M37" s="115">
        <v>0</v>
      </c>
      <c r="N37" s="114">
        <v>0</v>
      </c>
      <c r="O37" s="115">
        <v>270</v>
      </c>
      <c r="P37" s="114">
        <v>452038.6</v>
      </c>
      <c r="Q37" s="115">
        <v>0</v>
      </c>
      <c r="R37" s="114">
        <v>0</v>
      </c>
      <c r="S37" s="115">
        <v>0</v>
      </c>
      <c r="T37" s="114">
        <v>0</v>
      </c>
      <c r="U37" s="114" t="e">
        <f>#REF!*0.08</f>
        <v>#REF!</v>
      </c>
      <c r="V37" s="114" t="e">
        <f>#REF!*0.0214</f>
        <v>#REF!</v>
      </c>
      <c r="W37" s="114" t="e">
        <f>#REF!+U37+V37</f>
        <v>#REF!</v>
      </c>
      <c r="X37" s="116"/>
    </row>
    <row r="38" spans="1:24" s="75" customFormat="1" ht="15" customHeight="1" x14ac:dyDescent="0.25">
      <c r="A38" s="3">
        <v>29</v>
      </c>
      <c r="B38" s="73" t="s">
        <v>79</v>
      </c>
      <c r="C38" s="35">
        <f t="shared" si="1"/>
        <v>1038817.54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3">
        <v>0</v>
      </c>
      <c r="L38" s="74">
        <v>0</v>
      </c>
      <c r="M38" s="2">
        <v>788.8</v>
      </c>
      <c r="N38" s="74">
        <v>1038817.54</v>
      </c>
      <c r="O38" s="2">
        <v>0</v>
      </c>
      <c r="P38" s="74">
        <v>0</v>
      </c>
      <c r="Q38" s="2">
        <v>0</v>
      </c>
      <c r="R38" s="74">
        <v>0</v>
      </c>
      <c r="S38" s="2">
        <v>0</v>
      </c>
      <c r="T38" s="74">
        <v>0</v>
      </c>
      <c r="U38" s="74" t="e">
        <f>#REF!*0.08</f>
        <v>#REF!</v>
      </c>
      <c r="V38" s="74" t="e">
        <f>#REF!*0.0214</f>
        <v>#REF!</v>
      </c>
      <c r="W38" s="74" t="e">
        <f>#REF!+U38+V38</f>
        <v>#REF!</v>
      </c>
      <c r="X38" s="68"/>
    </row>
    <row r="39" spans="1:24" s="23" customFormat="1" ht="15" customHeight="1" x14ac:dyDescent="0.25">
      <c r="A39" s="3">
        <v>30</v>
      </c>
      <c r="B39" s="73" t="s">
        <v>85</v>
      </c>
      <c r="C39" s="35">
        <f t="shared" si="1"/>
        <v>432916.45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3">
        <v>0</v>
      </c>
      <c r="L39" s="76">
        <v>0</v>
      </c>
      <c r="M39" s="2">
        <v>424</v>
      </c>
      <c r="N39" s="74">
        <v>432916.45</v>
      </c>
      <c r="O39" s="2">
        <v>0</v>
      </c>
      <c r="P39" s="74">
        <v>0</v>
      </c>
      <c r="Q39" s="2">
        <v>0</v>
      </c>
      <c r="R39" s="74">
        <v>0</v>
      </c>
      <c r="S39" s="2">
        <v>0</v>
      </c>
      <c r="T39" s="74">
        <v>0</v>
      </c>
      <c r="U39" s="74" t="e">
        <f>#REF!*0.08</f>
        <v>#REF!</v>
      </c>
      <c r="V39" s="74" t="e">
        <f>#REF!*0.0214</f>
        <v>#REF!</v>
      </c>
      <c r="W39" s="74" t="e">
        <f>#REF!+U39+V39</f>
        <v>#REF!</v>
      </c>
      <c r="X39" s="68"/>
    </row>
    <row r="40" spans="1:24" s="23" customFormat="1" ht="15" customHeight="1" x14ac:dyDescent="0.25">
      <c r="A40" s="3">
        <v>31</v>
      </c>
      <c r="B40" s="73" t="s">
        <v>87</v>
      </c>
      <c r="C40" s="35">
        <f t="shared" si="1"/>
        <v>2079410.9</v>
      </c>
      <c r="D40" s="74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3">
        <v>0</v>
      </c>
      <c r="L40" s="76">
        <v>0</v>
      </c>
      <c r="M40" s="2">
        <v>1144</v>
      </c>
      <c r="N40" s="74">
        <v>2079410.9</v>
      </c>
      <c r="O40" s="2">
        <v>0</v>
      </c>
      <c r="P40" s="74">
        <v>0</v>
      </c>
      <c r="Q40" s="2">
        <v>0</v>
      </c>
      <c r="R40" s="74">
        <v>0</v>
      </c>
      <c r="S40" s="2">
        <v>0</v>
      </c>
      <c r="T40" s="74">
        <v>0</v>
      </c>
      <c r="U40" s="74" t="e">
        <f>#REF!*0.08</f>
        <v>#REF!</v>
      </c>
      <c r="V40" s="74" t="e">
        <f>#REF!*0.0214</f>
        <v>#REF!</v>
      </c>
      <c r="W40" s="74" t="e">
        <f>#REF!+U40+V40</f>
        <v>#REF!</v>
      </c>
      <c r="X40" s="68"/>
    </row>
    <row r="41" spans="1:24" s="23" customFormat="1" ht="15" customHeight="1" x14ac:dyDescent="0.25">
      <c r="A41" s="3">
        <v>32</v>
      </c>
      <c r="B41" s="73" t="s">
        <v>88</v>
      </c>
      <c r="C41" s="35">
        <f t="shared" si="1"/>
        <v>2266703.4700000002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3">
        <v>0</v>
      </c>
      <c r="L41" s="76">
        <v>0</v>
      </c>
      <c r="M41" s="2">
        <v>1447</v>
      </c>
      <c r="N41" s="74">
        <v>2266703.4700000002</v>
      </c>
      <c r="O41" s="2">
        <v>0</v>
      </c>
      <c r="P41" s="74">
        <v>0</v>
      </c>
      <c r="Q41" s="2">
        <v>0</v>
      </c>
      <c r="R41" s="74">
        <v>0</v>
      </c>
      <c r="S41" s="2">
        <v>0</v>
      </c>
      <c r="T41" s="74">
        <v>0</v>
      </c>
      <c r="U41" s="74" t="e">
        <f>#REF!*0.08</f>
        <v>#REF!</v>
      </c>
      <c r="V41" s="74" t="e">
        <f>#REF!*0.0214</f>
        <v>#REF!</v>
      </c>
      <c r="W41" s="74" t="e">
        <f>#REF!+U41+V41</f>
        <v>#REF!</v>
      </c>
      <c r="X41" s="68"/>
    </row>
    <row r="42" spans="1:24" s="23" customFormat="1" ht="15" customHeight="1" x14ac:dyDescent="0.25">
      <c r="A42" s="3">
        <v>33</v>
      </c>
      <c r="B42" s="73" t="s">
        <v>94</v>
      </c>
      <c r="C42" s="35">
        <f t="shared" si="1"/>
        <v>1284484.3899999999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3">
        <v>0</v>
      </c>
      <c r="L42" s="76">
        <v>0</v>
      </c>
      <c r="M42" s="2">
        <v>929</v>
      </c>
      <c r="N42" s="74">
        <v>1284484.3899999999</v>
      </c>
      <c r="O42" s="2">
        <v>0</v>
      </c>
      <c r="P42" s="74">
        <v>0</v>
      </c>
      <c r="Q42" s="2">
        <v>0</v>
      </c>
      <c r="R42" s="74">
        <v>0</v>
      </c>
      <c r="S42" s="2">
        <v>0</v>
      </c>
      <c r="T42" s="74">
        <v>0</v>
      </c>
      <c r="U42" s="74" t="e">
        <f>#REF!*0.08</f>
        <v>#REF!</v>
      </c>
      <c r="V42" s="74" t="e">
        <f>#REF!*0.0214</f>
        <v>#REF!</v>
      </c>
      <c r="W42" s="74" t="e">
        <f>#REF!+U42+V42</f>
        <v>#REF!</v>
      </c>
      <c r="X42" s="68"/>
    </row>
    <row r="43" spans="1:24" s="23" customFormat="1" ht="15" customHeight="1" x14ac:dyDescent="0.25">
      <c r="A43" s="3">
        <v>34</v>
      </c>
      <c r="B43" s="73" t="s">
        <v>95</v>
      </c>
      <c r="C43" s="35">
        <f t="shared" si="1"/>
        <v>1221202.9099999999</v>
      </c>
      <c r="D43" s="74">
        <v>0</v>
      </c>
      <c r="E43" s="74"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3">
        <v>0</v>
      </c>
      <c r="L43" s="76">
        <v>0</v>
      </c>
      <c r="M43" s="2">
        <v>919</v>
      </c>
      <c r="N43" s="74">
        <v>1221202.9099999999</v>
      </c>
      <c r="O43" s="2">
        <v>0</v>
      </c>
      <c r="P43" s="74">
        <v>0</v>
      </c>
      <c r="Q43" s="2">
        <v>0</v>
      </c>
      <c r="R43" s="74">
        <v>0</v>
      </c>
      <c r="S43" s="2">
        <v>0</v>
      </c>
      <c r="T43" s="74">
        <v>0</v>
      </c>
      <c r="U43" s="74" t="e">
        <f>#REF!*0.08</f>
        <v>#REF!</v>
      </c>
      <c r="V43" s="74" t="e">
        <f>#REF!*0.0214</f>
        <v>#REF!</v>
      </c>
      <c r="W43" s="74" t="e">
        <f>#REF!+U43+V43</f>
        <v>#REF!</v>
      </c>
      <c r="X43" s="68"/>
    </row>
    <row r="44" spans="1:24" s="23" customFormat="1" ht="15" customHeight="1" x14ac:dyDescent="0.25">
      <c r="A44" s="3">
        <v>35</v>
      </c>
      <c r="B44" s="73" t="s">
        <v>96</v>
      </c>
      <c r="C44" s="35">
        <f t="shared" si="1"/>
        <v>1211262.3700000001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3">
        <v>0</v>
      </c>
      <c r="L44" s="76">
        <v>0</v>
      </c>
      <c r="M44" s="2">
        <v>919</v>
      </c>
      <c r="N44" s="74">
        <v>1211262.3700000001</v>
      </c>
      <c r="O44" s="2">
        <v>0</v>
      </c>
      <c r="P44" s="74">
        <v>0</v>
      </c>
      <c r="Q44" s="2">
        <v>0</v>
      </c>
      <c r="R44" s="74">
        <v>0</v>
      </c>
      <c r="S44" s="2">
        <v>0</v>
      </c>
      <c r="T44" s="74">
        <v>0</v>
      </c>
      <c r="U44" s="74" t="e">
        <f>#REF!*0.08</f>
        <v>#REF!</v>
      </c>
      <c r="V44" s="74" t="e">
        <f>#REF!*0.0214</f>
        <v>#REF!</v>
      </c>
      <c r="W44" s="74" t="e">
        <f>#REF!+U44+V44</f>
        <v>#REF!</v>
      </c>
      <c r="X44" s="68"/>
    </row>
    <row r="45" spans="1:24" s="23" customFormat="1" ht="15" customHeight="1" x14ac:dyDescent="0.25">
      <c r="A45" s="3">
        <v>36</v>
      </c>
      <c r="B45" s="73" t="s">
        <v>97</v>
      </c>
      <c r="C45" s="35">
        <f t="shared" si="1"/>
        <v>814982.67</v>
      </c>
      <c r="D45" s="74">
        <v>0</v>
      </c>
      <c r="E45" s="74"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3">
        <v>0</v>
      </c>
      <c r="L45" s="76">
        <v>0</v>
      </c>
      <c r="M45" s="2">
        <v>848.2</v>
      </c>
      <c r="N45" s="74">
        <v>814982.67</v>
      </c>
      <c r="O45" s="2">
        <v>0</v>
      </c>
      <c r="P45" s="74">
        <v>0</v>
      </c>
      <c r="Q45" s="2">
        <v>0</v>
      </c>
      <c r="R45" s="74">
        <v>0</v>
      </c>
      <c r="S45" s="2">
        <v>0</v>
      </c>
      <c r="T45" s="74">
        <v>0</v>
      </c>
      <c r="U45" s="74" t="e">
        <f>#REF!*0.08</f>
        <v>#REF!</v>
      </c>
      <c r="V45" s="74" t="e">
        <f>#REF!*0.0214</f>
        <v>#REF!</v>
      </c>
      <c r="W45" s="74" t="e">
        <f>#REF!+U45+V45</f>
        <v>#REF!</v>
      </c>
      <c r="X45" s="68"/>
    </row>
    <row r="46" spans="1:24" s="23" customFormat="1" ht="30.75" customHeight="1" x14ac:dyDescent="0.25">
      <c r="A46" s="3">
        <v>37</v>
      </c>
      <c r="B46" s="73" t="s">
        <v>98</v>
      </c>
      <c r="C46" s="35">
        <f t="shared" si="1"/>
        <v>1158391.3600000001</v>
      </c>
      <c r="D46" s="74">
        <v>0</v>
      </c>
      <c r="E46" s="74"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3">
        <v>0</v>
      </c>
      <c r="L46" s="76">
        <v>0</v>
      </c>
      <c r="M46" s="2">
        <v>871.8</v>
      </c>
      <c r="N46" s="74">
        <v>1158391.3600000001</v>
      </c>
      <c r="O46" s="2">
        <v>0</v>
      </c>
      <c r="P46" s="74">
        <v>0</v>
      </c>
      <c r="Q46" s="2">
        <v>0</v>
      </c>
      <c r="R46" s="74">
        <v>0</v>
      </c>
      <c r="S46" s="2">
        <v>0</v>
      </c>
      <c r="T46" s="74">
        <v>0</v>
      </c>
      <c r="U46" s="74" t="e">
        <f>#REF!*0.08</f>
        <v>#REF!</v>
      </c>
      <c r="V46" s="74" t="e">
        <f>#REF!*0.0214</f>
        <v>#REF!</v>
      </c>
      <c r="W46" s="74" t="e">
        <f>#REF!+U46+V46</f>
        <v>#REF!</v>
      </c>
      <c r="X46" s="68"/>
    </row>
    <row r="47" spans="1:24" s="23" customFormat="1" ht="15" customHeight="1" x14ac:dyDescent="0.25">
      <c r="A47" s="3">
        <v>38</v>
      </c>
      <c r="B47" s="73" t="s">
        <v>99</v>
      </c>
      <c r="C47" s="35">
        <f t="shared" si="1"/>
        <v>1731271.87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3">
        <v>0</v>
      </c>
      <c r="L47" s="76">
        <v>0</v>
      </c>
      <c r="M47" s="2">
        <v>936</v>
      </c>
      <c r="N47" s="74">
        <v>1731271.87</v>
      </c>
      <c r="O47" s="2">
        <v>0</v>
      </c>
      <c r="P47" s="74">
        <v>0</v>
      </c>
      <c r="Q47" s="2">
        <v>0</v>
      </c>
      <c r="R47" s="74">
        <v>0</v>
      </c>
      <c r="S47" s="2">
        <v>0</v>
      </c>
      <c r="T47" s="74">
        <v>0</v>
      </c>
      <c r="U47" s="74" t="e">
        <f>#REF!*0.08</f>
        <v>#REF!</v>
      </c>
      <c r="V47" s="74" t="e">
        <f>#REF!*0.0214</f>
        <v>#REF!</v>
      </c>
      <c r="W47" s="74" t="e">
        <f>#REF!+U47+V47</f>
        <v>#REF!</v>
      </c>
      <c r="X47" s="68"/>
    </row>
    <row r="48" spans="1:24" ht="31.5" customHeight="1" x14ac:dyDescent="0.25">
      <c r="A48" s="3">
        <v>39</v>
      </c>
      <c r="B48" s="77" t="s">
        <v>100</v>
      </c>
      <c r="C48" s="35">
        <f t="shared" si="1"/>
        <v>279832.61</v>
      </c>
      <c r="D48" s="35">
        <f>SUM(E48:J48)</f>
        <v>279832.61</v>
      </c>
      <c r="E48" s="74">
        <v>0</v>
      </c>
      <c r="F48" s="74">
        <v>0</v>
      </c>
      <c r="G48" s="74">
        <v>0</v>
      </c>
      <c r="H48" s="74">
        <v>0</v>
      </c>
      <c r="I48" s="74">
        <v>279832.61</v>
      </c>
      <c r="J48" s="74">
        <v>0</v>
      </c>
      <c r="K48" s="3">
        <v>0</v>
      </c>
      <c r="L48" s="76">
        <v>0</v>
      </c>
      <c r="M48" s="2">
        <v>0</v>
      </c>
      <c r="N48" s="74">
        <v>0</v>
      </c>
      <c r="O48" s="2">
        <v>0</v>
      </c>
      <c r="P48" s="74">
        <v>0</v>
      </c>
      <c r="Q48" s="2">
        <v>0</v>
      </c>
      <c r="R48" s="74">
        <v>0</v>
      </c>
      <c r="S48" s="2">
        <v>0</v>
      </c>
      <c r="T48" s="74">
        <v>0</v>
      </c>
      <c r="U48" s="74" t="e">
        <f>#REF!*0.08</f>
        <v>#REF!</v>
      </c>
      <c r="V48" s="74" t="e">
        <f>#REF!*0.0214</f>
        <v>#REF!</v>
      </c>
      <c r="W48" s="74" t="e">
        <f>#REF!+U48+V48</f>
        <v>#REF!</v>
      </c>
      <c r="X48" s="68"/>
    </row>
    <row r="49" spans="1:24" s="23" customFormat="1" ht="15" customHeight="1" x14ac:dyDescent="0.25">
      <c r="A49" s="111">
        <v>40</v>
      </c>
      <c r="B49" s="112" t="s">
        <v>108</v>
      </c>
      <c r="C49" s="113">
        <f t="shared" si="1"/>
        <v>11200000</v>
      </c>
      <c r="D49" s="114">
        <v>0</v>
      </c>
      <c r="E49" s="114">
        <v>0</v>
      </c>
      <c r="F49" s="114">
        <v>0</v>
      </c>
      <c r="G49" s="114">
        <v>0</v>
      </c>
      <c r="H49" s="114">
        <v>0</v>
      </c>
      <c r="I49" s="114">
        <v>0</v>
      </c>
      <c r="J49" s="114">
        <v>0</v>
      </c>
      <c r="K49" s="111">
        <v>7</v>
      </c>
      <c r="L49" s="114">
        <v>11200000</v>
      </c>
      <c r="M49" s="115">
        <v>0</v>
      </c>
      <c r="N49" s="114">
        <v>0</v>
      </c>
      <c r="O49" s="115">
        <v>0</v>
      </c>
      <c r="P49" s="114">
        <v>0</v>
      </c>
      <c r="Q49" s="115">
        <v>0</v>
      </c>
      <c r="R49" s="114">
        <v>0</v>
      </c>
      <c r="S49" s="115">
        <v>0</v>
      </c>
      <c r="T49" s="114">
        <v>0</v>
      </c>
      <c r="U49" s="114" t="e">
        <f>#REF!*0.08</f>
        <v>#REF!</v>
      </c>
      <c r="V49" s="114" t="e">
        <f>#REF!*0.0214</f>
        <v>#REF!</v>
      </c>
      <c r="W49" s="114" t="e">
        <f>#REF!+U49+V49</f>
        <v>#REF!</v>
      </c>
      <c r="X49" s="116"/>
    </row>
    <row r="50" spans="1:24" ht="15" customHeight="1" x14ac:dyDescent="0.25">
      <c r="A50" s="3">
        <v>41</v>
      </c>
      <c r="B50" s="73" t="s">
        <v>113</v>
      </c>
      <c r="C50" s="35">
        <f t="shared" si="1"/>
        <v>630149.52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3">
        <v>0</v>
      </c>
      <c r="L50" s="76">
        <v>0</v>
      </c>
      <c r="M50" s="2">
        <v>754.5</v>
      </c>
      <c r="N50" s="74">
        <v>630149.52</v>
      </c>
      <c r="O50" s="2">
        <v>0</v>
      </c>
      <c r="P50" s="74">
        <v>0</v>
      </c>
      <c r="Q50" s="2">
        <v>0</v>
      </c>
      <c r="R50" s="74">
        <v>0</v>
      </c>
      <c r="S50" s="2">
        <v>0</v>
      </c>
      <c r="T50" s="74">
        <v>0</v>
      </c>
      <c r="U50" s="74" t="e">
        <f>#REF!*0.08</f>
        <v>#REF!</v>
      </c>
      <c r="V50" s="74" t="e">
        <f>#REF!*0.0214</f>
        <v>#REF!</v>
      </c>
      <c r="W50" s="74" t="e">
        <f>#REF!+U50+V50</f>
        <v>#REF!</v>
      </c>
      <c r="X50" s="68"/>
    </row>
    <row r="51" spans="1:24" ht="15" customHeight="1" x14ac:dyDescent="0.25">
      <c r="A51" s="3">
        <v>42</v>
      </c>
      <c r="B51" s="73" t="s">
        <v>116</v>
      </c>
      <c r="C51" s="35">
        <f t="shared" si="1"/>
        <v>1380512.23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3">
        <v>0</v>
      </c>
      <c r="L51" s="76">
        <v>0</v>
      </c>
      <c r="M51" s="2">
        <v>957</v>
      </c>
      <c r="N51" s="74">
        <v>1380512.23</v>
      </c>
      <c r="O51" s="2">
        <v>0</v>
      </c>
      <c r="P51" s="74">
        <v>0</v>
      </c>
      <c r="Q51" s="2">
        <v>0</v>
      </c>
      <c r="R51" s="74">
        <v>0</v>
      </c>
      <c r="S51" s="2">
        <v>0</v>
      </c>
      <c r="T51" s="74">
        <v>0</v>
      </c>
      <c r="U51" s="74" t="e">
        <f>#REF!*0.08</f>
        <v>#REF!</v>
      </c>
      <c r="V51" s="74" t="e">
        <f>#REF!*0.0214</f>
        <v>#REF!</v>
      </c>
      <c r="W51" s="74" t="e">
        <f>#REF!+U51+V51</f>
        <v>#REF!</v>
      </c>
      <c r="X51" s="68"/>
    </row>
    <row r="52" spans="1:24" ht="15" customHeight="1" x14ac:dyDescent="0.25">
      <c r="A52" s="3">
        <v>43</v>
      </c>
      <c r="B52" s="73" t="s">
        <v>117</v>
      </c>
      <c r="C52" s="35">
        <f t="shared" si="1"/>
        <v>1275756.83</v>
      </c>
      <c r="D52" s="74"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3">
        <v>0</v>
      </c>
      <c r="L52" s="76">
        <v>0</v>
      </c>
      <c r="M52" s="2">
        <v>738</v>
      </c>
      <c r="N52" s="74">
        <v>1275756.83</v>
      </c>
      <c r="O52" s="2">
        <v>0</v>
      </c>
      <c r="P52" s="74">
        <v>0</v>
      </c>
      <c r="Q52" s="2">
        <v>0</v>
      </c>
      <c r="R52" s="74">
        <v>0</v>
      </c>
      <c r="S52" s="2">
        <v>0</v>
      </c>
      <c r="T52" s="74">
        <v>0</v>
      </c>
      <c r="U52" s="74" t="e">
        <f>#REF!*0.08</f>
        <v>#REF!</v>
      </c>
      <c r="V52" s="74" t="e">
        <f>#REF!*0.0214</f>
        <v>#REF!</v>
      </c>
      <c r="W52" s="74" t="e">
        <f>#REF!+U52+V52</f>
        <v>#REF!</v>
      </c>
      <c r="X52" s="68"/>
    </row>
    <row r="53" spans="1:24" ht="15" customHeight="1" x14ac:dyDescent="0.25">
      <c r="A53" s="3">
        <v>44</v>
      </c>
      <c r="B53" s="73" t="s">
        <v>119</v>
      </c>
      <c r="C53" s="35">
        <f t="shared" si="1"/>
        <v>692166.59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3">
        <v>0</v>
      </c>
      <c r="L53" s="76">
        <v>0</v>
      </c>
      <c r="M53" s="2">
        <v>347</v>
      </c>
      <c r="N53" s="74">
        <v>692166.59</v>
      </c>
      <c r="O53" s="2">
        <v>0</v>
      </c>
      <c r="P53" s="74">
        <v>0</v>
      </c>
      <c r="Q53" s="2">
        <v>0</v>
      </c>
      <c r="R53" s="74">
        <v>0</v>
      </c>
      <c r="S53" s="2">
        <v>0</v>
      </c>
      <c r="T53" s="74">
        <v>0</v>
      </c>
      <c r="U53" s="74" t="e">
        <f>#REF!*0.08</f>
        <v>#REF!</v>
      </c>
      <c r="V53" s="74" t="e">
        <f>#REF!*0.0214</f>
        <v>#REF!</v>
      </c>
      <c r="W53" s="74" t="e">
        <f>#REF!+U53+V53</f>
        <v>#REF!</v>
      </c>
      <c r="X53" s="68"/>
    </row>
    <row r="54" spans="1:24" ht="15" customHeight="1" x14ac:dyDescent="0.25">
      <c r="A54" s="3">
        <v>45</v>
      </c>
      <c r="B54" s="73" t="s">
        <v>120</v>
      </c>
      <c r="C54" s="35">
        <f t="shared" si="1"/>
        <v>1753246.76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74">
        <v>0</v>
      </c>
      <c r="K54" s="3">
        <v>0</v>
      </c>
      <c r="L54" s="74">
        <v>0</v>
      </c>
      <c r="M54" s="2">
        <v>0</v>
      </c>
      <c r="N54" s="74">
        <v>0</v>
      </c>
      <c r="O54" s="2">
        <v>194</v>
      </c>
      <c r="P54" s="74">
        <v>335883.99</v>
      </c>
      <c r="Q54" s="2">
        <f>105+1250</f>
        <v>1355</v>
      </c>
      <c r="R54" s="74">
        <v>1417362.77</v>
      </c>
      <c r="S54" s="2">
        <v>0</v>
      </c>
      <c r="T54" s="74">
        <v>0</v>
      </c>
      <c r="U54" s="74" t="e">
        <f>#REF!*0.08</f>
        <v>#REF!</v>
      </c>
      <c r="V54" s="74" t="e">
        <f>#REF!*0.0214</f>
        <v>#REF!</v>
      </c>
      <c r="W54" s="74" t="e">
        <f>#REF!+U54+V54</f>
        <v>#REF!</v>
      </c>
      <c r="X54" s="78"/>
    </row>
    <row r="55" spans="1:24" ht="15" customHeight="1" x14ac:dyDescent="0.25">
      <c r="A55" s="3">
        <v>46</v>
      </c>
      <c r="B55" s="73" t="s">
        <v>45</v>
      </c>
      <c r="C55" s="35">
        <f t="shared" si="1"/>
        <v>1148280.0900000001</v>
      </c>
      <c r="D55" s="74">
        <v>0</v>
      </c>
      <c r="E55" s="74">
        <v>0</v>
      </c>
      <c r="F55" s="74">
        <v>0</v>
      </c>
      <c r="G55" s="74">
        <v>0</v>
      </c>
      <c r="H55" s="74">
        <v>0</v>
      </c>
      <c r="I55" s="74">
        <v>0</v>
      </c>
      <c r="J55" s="74">
        <v>0</v>
      </c>
      <c r="K55" s="3">
        <v>0</v>
      </c>
      <c r="L55" s="74">
        <v>0</v>
      </c>
      <c r="M55" s="3">
        <v>1212.7</v>
      </c>
      <c r="N55" s="74">
        <v>1148280.0900000001</v>
      </c>
      <c r="O55" s="3">
        <v>0</v>
      </c>
      <c r="P55" s="74">
        <v>0</v>
      </c>
      <c r="Q55" s="3">
        <v>0</v>
      </c>
      <c r="R55" s="74">
        <v>0</v>
      </c>
      <c r="S55" s="3">
        <v>0</v>
      </c>
      <c r="T55" s="74">
        <v>0</v>
      </c>
      <c r="U55" s="74" t="e">
        <f>#REF!*0.08</f>
        <v>#REF!</v>
      </c>
      <c r="V55" s="74" t="e">
        <f>#REF!*0.0214</f>
        <v>#REF!</v>
      </c>
      <c r="W55" s="74" t="e">
        <f>#REF!+U55+V55</f>
        <v>#REF!</v>
      </c>
      <c r="X55" s="68"/>
    </row>
    <row r="56" spans="1:24" ht="15" customHeight="1" x14ac:dyDescent="0.25">
      <c r="A56" s="3">
        <v>47</v>
      </c>
      <c r="B56" s="73" t="s">
        <v>53</v>
      </c>
      <c r="C56" s="35">
        <f t="shared" si="1"/>
        <v>1370651.79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74">
        <v>0</v>
      </c>
      <c r="K56" s="3">
        <v>0</v>
      </c>
      <c r="L56" s="74">
        <v>0</v>
      </c>
      <c r="M56" s="3">
        <v>1082</v>
      </c>
      <c r="N56" s="74">
        <v>1370651.79</v>
      </c>
      <c r="O56" s="3">
        <v>0</v>
      </c>
      <c r="P56" s="74">
        <v>0</v>
      </c>
      <c r="Q56" s="3">
        <v>0</v>
      </c>
      <c r="R56" s="74">
        <v>0</v>
      </c>
      <c r="S56" s="3">
        <v>0</v>
      </c>
      <c r="T56" s="74">
        <v>0</v>
      </c>
      <c r="U56" s="74" t="e">
        <f>#REF!*0.08</f>
        <v>#REF!</v>
      </c>
      <c r="V56" s="74" t="e">
        <f>#REF!*0.0214</f>
        <v>#REF!</v>
      </c>
      <c r="W56" s="74" t="e">
        <f>#REF!+U56+V56</f>
        <v>#REF!</v>
      </c>
      <c r="X56" s="68"/>
    </row>
    <row r="57" spans="1:24" ht="15" customHeight="1" x14ac:dyDescent="0.25">
      <c r="A57" s="3">
        <v>48</v>
      </c>
      <c r="B57" s="73" t="s">
        <v>69</v>
      </c>
      <c r="C57" s="35">
        <f t="shared" si="1"/>
        <v>680162.92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74">
        <v>0</v>
      </c>
      <c r="K57" s="3">
        <v>0</v>
      </c>
      <c r="L57" s="74">
        <v>0</v>
      </c>
      <c r="M57" s="2">
        <v>709.2</v>
      </c>
      <c r="N57" s="74">
        <v>680162.92</v>
      </c>
      <c r="O57" s="2">
        <v>0</v>
      </c>
      <c r="P57" s="74">
        <v>0</v>
      </c>
      <c r="Q57" s="2">
        <v>0</v>
      </c>
      <c r="R57" s="74">
        <v>0</v>
      </c>
      <c r="S57" s="3">
        <v>0</v>
      </c>
      <c r="T57" s="74">
        <v>0</v>
      </c>
      <c r="U57" s="74" t="e">
        <f>#REF!*0.08</f>
        <v>#REF!</v>
      </c>
      <c r="V57" s="74" t="e">
        <f>#REF!*0.0214</f>
        <v>#REF!</v>
      </c>
      <c r="W57" s="74" t="e">
        <f>#REF!+U57+V57</f>
        <v>#REF!</v>
      </c>
      <c r="X57" s="68"/>
    </row>
    <row r="58" spans="1:24" ht="33.75" customHeight="1" x14ac:dyDescent="0.25">
      <c r="A58" s="3">
        <v>49</v>
      </c>
      <c r="B58" s="73" t="s">
        <v>80</v>
      </c>
      <c r="C58" s="35">
        <f t="shared" si="1"/>
        <v>1591919.1</v>
      </c>
      <c r="D58" s="35">
        <f>SUM(E58:J58)</f>
        <v>1591919.1</v>
      </c>
      <c r="E58" s="74">
        <v>0</v>
      </c>
      <c r="F58" s="74">
        <v>0</v>
      </c>
      <c r="G58" s="74">
        <v>857803.2</v>
      </c>
      <c r="H58" s="74">
        <v>0</v>
      </c>
      <c r="I58" s="74">
        <v>734115.9</v>
      </c>
      <c r="J58" s="74">
        <v>0</v>
      </c>
      <c r="K58" s="3">
        <v>0</v>
      </c>
      <c r="L58" s="74">
        <v>0</v>
      </c>
      <c r="M58" s="2">
        <v>0</v>
      </c>
      <c r="N58" s="74">
        <v>0</v>
      </c>
      <c r="O58" s="2">
        <v>0</v>
      </c>
      <c r="P58" s="74">
        <v>0</v>
      </c>
      <c r="Q58" s="2">
        <v>0</v>
      </c>
      <c r="R58" s="74">
        <v>0</v>
      </c>
      <c r="S58" s="2">
        <v>0</v>
      </c>
      <c r="T58" s="74">
        <v>0</v>
      </c>
      <c r="U58" s="74" t="e">
        <f>#REF!*0.08</f>
        <v>#REF!</v>
      </c>
      <c r="V58" s="74" t="e">
        <f>#REF!*0.0214</f>
        <v>#REF!</v>
      </c>
      <c r="W58" s="74" t="e">
        <f>#REF!+U58+V58</f>
        <v>#REF!</v>
      </c>
      <c r="X58" s="68"/>
    </row>
    <row r="59" spans="1:24" ht="15" customHeight="1" x14ac:dyDescent="0.25">
      <c r="A59" s="3">
        <v>50</v>
      </c>
      <c r="B59" s="73" t="s">
        <v>81</v>
      </c>
      <c r="C59" s="35">
        <f t="shared" si="1"/>
        <v>3452937.09</v>
      </c>
      <c r="D59" s="74">
        <v>0</v>
      </c>
      <c r="E59" s="74">
        <v>0</v>
      </c>
      <c r="F59" s="74">
        <v>0</v>
      </c>
      <c r="G59" s="74">
        <v>0</v>
      </c>
      <c r="H59" s="74">
        <v>0</v>
      </c>
      <c r="I59" s="74">
        <v>0</v>
      </c>
      <c r="J59" s="74">
        <v>0</v>
      </c>
      <c r="K59" s="3">
        <v>0</v>
      </c>
      <c r="L59" s="74">
        <v>0</v>
      </c>
      <c r="M59" s="2">
        <v>1951</v>
      </c>
      <c r="N59" s="74">
        <v>3452937.09</v>
      </c>
      <c r="O59" s="2">
        <v>0</v>
      </c>
      <c r="P59" s="74">
        <v>0</v>
      </c>
      <c r="Q59" s="2">
        <v>0</v>
      </c>
      <c r="R59" s="74">
        <v>0</v>
      </c>
      <c r="S59" s="2">
        <v>0</v>
      </c>
      <c r="T59" s="74">
        <v>0</v>
      </c>
      <c r="U59" s="74" t="e">
        <f>#REF!*0.08</f>
        <v>#REF!</v>
      </c>
      <c r="V59" s="74" t="e">
        <f>#REF!*0.0214</f>
        <v>#REF!</v>
      </c>
      <c r="W59" s="74" t="e">
        <f>#REF!+U59+V59</f>
        <v>#REF!</v>
      </c>
      <c r="X59" s="68"/>
    </row>
    <row r="60" spans="1:24" ht="15" customHeight="1" x14ac:dyDescent="0.25">
      <c r="A60" s="3">
        <v>51</v>
      </c>
      <c r="B60" s="73" t="s">
        <v>82</v>
      </c>
      <c r="C60" s="35">
        <f t="shared" si="1"/>
        <v>145662.32999999999</v>
      </c>
      <c r="D60" s="35">
        <f>SUM(E60:J60)</f>
        <v>145662.32999999999</v>
      </c>
      <c r="E60" s="74">
        <v>0</v>
      </c>
      <c r="F60" s="74">
        <v>145662.32999999999</v>
      </c>
      <c r="G60" s="74">
        <v>0</v>
      </c>
      <c r="H60" s="74">
        <v>0</v>
      </c>
      <c r="I60" s="74">
        <v>0</v>
      </c>
      <c r="J60" s="74">
        <v>0</v>
      </c>
      <c r="K60" s="3">
        <v>0</v>
      </c>
      <c r="L60" s="76">
        <v>0</v>
      </c>
      <c r="M60" s="2">
        <v>0</v>
      </c>
      <c r="N60" s="74">
        <v>0</v>
      </c>
      <c r="O60" s="2">
        <v>0</v>
      </c>
      <c r="P60" s="74">
        <v>0</v>
      </c>
      <c r="Q60" s="2">
        <v>0</v>
      </c>
      <c r="R60" s="74">
        <v>0</v>
      </c>
      <c r="S60" s="2">
        <v>0</v>
      </c>
      <c r="T60" s="74">
        <v>0</v>
      </c>
      <c r="U60" s="74" t="e">
        <f>#REF!*0.08</f>
        <v>#REF!</v>
      </c>
      <c r="V60" s="74" t="e">
        <f>#REF!*0.0214</f>
        <v>#REF!</v>
      </c>
      <c r="W60" s="74" t="e">
        <f>#REF!+U60+V60</f>
        <v>#REF!</v>
      </c>
      <c r="X60" s="68"/>
    </row>
    <row r="61" spans="1:24" ht="15" customHeight="1" x14ac:dyDescent="0.25">
      <c r="A61" s="3">
        <v>52</v>
      </c>
      <c r="B61" s="73" t="s">
        <v>83</v>
      </c>
      <c r="C61" s="35">
        <f t="shared" si="1"/>
        <v>787727.49</v>
      </c>
      <c r="D61" s="74">
        <v>0</v>
      </c>
      <c r="E61" s="74">
        <v>0</v>
      </c>
      <c r="F61" s="74">
        <v>0</v>
      </c>
      <c r="G61" s="74">
        <v>0</v>
      </c>
      <c r="H61" s="74">
        <v>0</v>
      </c>
      <c r="I61" s="74">
        <v>0</v>
      </c>
      <c r="J61" s="74">
        <v>0</v>
      </c>
      <c r="K61" s="3">
        <v>0</v>
      </c>
      <c r="L61" s="76">
        <v>0</v>
      </c>
      <c r="M61" s="2">
        <v>0</v>
      </c>
      <c r="N61" s="74">
        <v>0</v>
      </c>
      <c r="O61" s="2">
        <v>0</v>
      </c>
      <c r="P61" s="74">
        <v>0</v>
      </c>
      <c r="Q61" s="2">
        <v>2091</v>
      </c>
      <c r="R61" s="74">
        <v>787727.49</v>
      </c>
      <c r="S61" s="2">
        <v>0</v>
      </c>
      <c r="T61" s="74">
        <v>0</v>
      </c>
      <c r="U61" s="74" t="e">
        <f>#REF!*0.08</f>
        <v>#REF!</v>
      </c>
      <c r="V61" s="74" t="e">
        <f>#REF!*0.0214</f>
        <v>#REF!</v>
      </c>
      <c r="W61" s="74" t="e">
        <f>#REF!+U61+V61</f>
        <v>#REF!</v>
      </c>
      <c r="X61" s="68"/>
    </row>
    <row r="62" spans="1:24" ht="15" customHeight="1" x14ac:dyDescent="0.25">
      <c r="A62" s="3">
        <v>53</v>
      </c>
      <c r="B62" s="79" t="s">
        <v>86</v>
      </c>
      <c r="C62" s="35">
        <f t="shared" si="1"/>
        <v>929841.99</v>
      </c>
      <c r="D62" s="74">
        <v>0</v>
      </c>
      <c r="E62" s="74">
        <v>0</v>
      </c>
      <c r="F62" s="74">
        <v>0</v>
      </c>
      <c r="G62" s="74">
        <v>0</v>
      </c>
      <c r="H62" s="74">
        <v>0</v>
      </c>
      <c r="I62" s="74">
        <v>0</v>
      </c>
      <c r="J62" s="74">
        <v>0</v>
      </c>
      <c r="K62" s="3">
        <v>0</v>
      </c>
      <c r="L62" s="76">
        <v>0</v>
      </c>
      <c r="M62" s="2">
        <v>541</v>
      </c>
      <c r="N62" s="74">
        <v>929841.99</v>
      </c>
      <c r="O62" s="2">
        <v>0</v>
      </c>
      <c r="P62" s="74">
        <v>0</v>
      </c>
      <c r="Q62" s="2">
        <v>0</v>
      </c>
      <c r="R62" s="74">
        <v>0</v>
      </c>
      <c r="S62" s="2">
        <v>0</v>
      </c>
      <c r="T62" s="74">
        <v>0</v>
      </c>
      <c r="U62" s="74"/>
      <c r="V62" s="74"/>
      <c r="W62" s="74"/>
      <c r="X62" s="78"/>
    </row>
    <row r="63" spans="1:24" ht="29.25" customHeight="1" x14ac:dyDescent="0.25">
      <c r="A63" s="3">
        <v>54</v>
      </c>
      <c r="B63" s="73" t="s">
        <v>90</v>
      </c>
      <c r="C63" s="35">
        <f t="shared" si="1"/>
        <v>519989.51</v>
      </c>
      <c r="D63" s="35">
        <f>SUM(E63:J63)</f>
        <v>123452.01</v>
      </c>
      <c r="E63" s="74">
        <v>123452.01</v>
      </c>
      <c r="F63" s="74">
        <v>0</v>
      </c>
      <c r="G63" s="74">
        <v>0</v>
      </c>
      <c r="H63" s="74">
        <v>0</v>
      </c>
      <c r="I63" s="74">
        <v>0</v>
      </c>
      <c r="J63" s="74">
        <v>0</v>
      </c>
      <c r="K63" s="3">
        <v>0</v>
      </c>
      <c r="L63" s="76">
        <v>0</v>
      </c>
      <c r="M63" s="2">
        <v>0</v>
      </c>
      <c r="N63" s="74">
        <v>0</v>
      </c>
      <c r="O63" s="2">
        <v>0</v>
      </c>
      <c r="P63" s="74">
        <v>0</v>
      </c>
      <c r="Q63" s="2">
        <v>460.7</v>
      </c>
      <c r="R63" s="74">
        <v>396537.5</v>
      </c>
      <c r="S63" s="2">
        <v>0</v>
      </c>
      <c r="T63" s="74">
        <v>0</v>
      </c>
      <c r="U63" s="74"/>
      <c r="V63" s="74"/>
      <c r="W63" s="74"/>
      <c r="X63" s="78"/>
    </row>
    <row r="64" spans="1:24" ht="15" customHeight="1" x14ac:dyDescent="0.25">
      <c r="A64" s="3">
        <v>55</v>
      </c>
      <c r="B64" s="73" t="s">
        <v>107</v>
      </c>
      <c r="C64" s="35">
        <f t="shared" si="1"/>
        <v>932474.06</v>
      </c>
      <c r="D64" s="74">
        <v>0</v>
      </c>
      <c r="E64" s="74">
        <v>0</v>
      </c>
      <c r="F64" s="74">
        <v>0</v>
      </c>
      <c r="G64" s="74">
        <v>0</v>
      </c>
      <c r="H64" s="74">
        <v>0</v>
      </c>
      <c r="I64" s="74">
        <v>0</v>
      </c>
      <c r="J64" s="74">
        <v>0</v>
      </c>
      <c r="K64" s="3">
        <v>0</v>
      </c>
      <c r="L64" s="76">
        <v>0</v>
      </c>
      <c r="M64" s="2">
        <v>0</v>
      </c>
      <c r="N64" s="74">
        <v>0</v>
      </c>
      <c r="O64" s="2">
        <v>0</v>
      </c>
      <c r="P64" s="74">
        <v>0</v>
      </c>
      <c r="Q64" s="2">
        <v>1332</v>
      </c>
      <c r="R64" s="74">
        <v>932474.06</v>
      </c>
      <c r="S64" s="2">
        <v>0</v>
      </c>
      <c r="T64" s="74">
        <v>0</v>
      </c>
      <c r="U64" s="74" t="e">
        <f>#REF!*0.08</f>
        <v>#REF!</v>
      </c>
      <c r="V64" s="74" t="e">
        <f>#REF!*0.0214</f>
        <v>#REF!</v>
      </c>
      <c r="W64" s="74" t="e">
        <f>#REF!+U64+V64</f>
        <v>#REF!</v>
      </c>
      <c r="X64" s="68"/>
    </row>
    <row r="65" spans="1:24" x14ac:dyDescent="0.25">
      <c r="A65" s="3">
        <v>56</v>
      </c>
      <c r="B65" s="73" t="s">
        <v>109</v>
      </c>
      <c r="C65" s="35">
        <f t="shared" si="1"/>
        <v>1551639.47</v>
      </c>
      <c r="D65" s="74">
        <v>0</v>
      </c>
      <c r="E65" s="74">
        <v>0</v>
      </c>
      <c r="F65" s="74">
        <v>0</v>
      </c>
      <c r="G65" s="74">
        <v>0</v>
      </c>
      <c r="H65" s="74">
        <v>0</v>
      </c>
      <c r="I65" s="74">
        <v>0</v>
      </c>
      <c r="J65" s="74">
        <v>0</v>
      </c>
      <c r="K65" s="3">
        <v>0</v>
      </c>
      <c r="L65" s="76">
        <v>0</v>
      </c>
      <c r="M65" s="2">
        <v>0</v>
      </c>
      <c r="N65" s="74">
        <v>0</v>
      </c>
      <c r="O65" s="2">
        <v>0</v>
      </c>
      <c r="P65" s="74">
        <v>0</v>
      </c>
      <c r="Q65" s="2">
        <v>1388</v>
      </c>
      <c r="R65" s="74">
        <v>1551639.47</v>
      </c>
      <c r="S65" s="2">
        <v>0</v>
      </c>
      <c r="T65" s="74">
        <v>0</v>
      </c>
      <c r="U65" s="74" t="e">
        <f>#REF!*0.08</f>
        <v>#REF!</v>
      </c>
      <c r="V65" s="74" t="e">
        <f>#REF!*0.0214</f>
        <v>#REF!</v>
      </c>
      <c r="W65" s="74" t="e">
        <f>#REF!+U65+V65</f>
        <v>#REF!</v>
      </c>
      <c r="X65" s="68"/>
    </row>
    <row r="66" spans="1:24" x14ac:dyDescent="0.25">
      <c r="A66" s="3">
        <v>57</v>
      </c>
      <c r="B66" s="73" t="s">
        <v>112</v>
      </c>
      <c r="C66" s="35">
        <f t="shared" si="1"/>
        <v>1340846.77</v>
      </c>
      <c r="D66" s="74">
        <v>0</v>
      </c>
      <c r="E66" s="74">
        <v>0</v>
      </c>
      <c r="F66" s="74">
        <v>0</v>
      </c>
      <c r="G66" s="74">
        <v>0</v>
      </c>
      <c r="H66" s="74">
        <v>0</v>
      </c>
      <c r="I66" s="74">
        <v>0</v>
      </c>
      <c r="J66" s="74">
        <v>0</v>
      </c>
      <c r="K66" s="3">
        <v>0</v>
      </c>
      <c r="L66" s="76">
        <v>0</v>
      </c>
      <c r="M66" s="2">
        <v>0</v>
      </c>
      <c r="N66" s="74">
        <v>0</v>
      </c>
      <c r="O66" s="2">
        <v>0</v>
      </c>
      <c r="P66" s="74">
        <v>0</v>
      </c>
      <c r="Q66" s="2">
        <v>1559</v>
      </c>
      <c r="R66" s="74">
        <v>1340846.77</v>
      </c>
      <c r="S66" s="2">
        <v>0</v>
      </c>
      <c r="T66" s="74">
        <v>0</v>
      </c>
      <c r="U66" s="74"/>
      <c r="V66" s="74"/>
      <c r="W66" s="74"/>
      <c r="X66" s="68"/>
    </row>
    <row r="67" spans="1:24" x14ac:dyDescent="0.25">
      <c r="A67" s="3">
        <v>58</v>
      </c>
      <c r="B67" s="73" t="s">
        <v>74</v>
      </c>
      <c r="C67" s="35">
        <f t="shared" si="1"/>
        <v>1540519.58</v>
      </c>
      <c r="D67" s="74">
        <v>0</v>
      </c>
      <c r="E67" s="74">
        <v>0</v>
      </c>
      <c r="F67" s="74">
        <v>0</v>
      </c>
      <c r="G67" s="74">
        <v>0</v>
      </c>
      <c r="H67" s="74">
        <v>0</v>
      </c>
      <c r="I67" s="74">
        <v>0</v>
      </c>
      <c r="J67" s="74">
        <v>0</v>
      </c>
      <c r="K67" s="3">
        <v>0</v>
      </c>
      <c r="L67" s="74">
        <v>0</v>
      </c>
      <c r="M67" s="2">
        <v>1040</v>
      </c>
      <c r="N67" s="74">
        <v>1540519.58</v>
      </c>
      <c r="O67" s="2">
        <v>0</v>
      </c>
      <c r="P67" s="74">
        <v>0</v>
      </c>
      <c r="Q67" s="2">
        <v>0</v>
      </c>
      <c r="R67" s="74">
        <v>0</v>
      </c>
      <c r="S67" s="2">
        <v>0</v>
      </c>
      <c r="T67" s="74">
        <v>0</v>
      </c>
      <c r="U67" s="74" t="e">
        <f>#REF!*0.08</f>
        <v>#REF!</v>
      </c>
      <c r="V67" s="74" t="e">
        <f>#REF!*0.0214</f>
        <v>#REF!</v>
      </c>
      <c r="W67" s="74" t="e">
        <f>#REF!+U67+V67</f>
        <v>#REF!</v>
      </c>
      <c r="X67" s="68"/>
    </row>
    <row r="68" spans="1:24" x14ac:dyDescent="0.25">
      <c r="A68" s="3">
        <v>59</v>
      </c>
      <c r="B68" s="73" t="s">
        <v>153</v>
      </c>
      <c r="C68" s="35">
        <f t="shared" si="1"/>
        <v>651188</v>
      </c>
      <c r="D68" s="35">
        <f>SUM(E68:J68)</f>
        <v>651188</v>
      </c>
      <c r="E68" s="74">
        <v>0</v>
      </c>
      <c r="F68" s="74">
        <v>651188</v>
      </c>
      <c r="G68" s="74">
        <v>0</v>
      </c>
      <c r="H68" s="74">
        <v>0</v>
      </c>
      <c r="I68" s="74">
        <v>0</v>
      </c>
      <c r="J68" s="74">
        <v>0</v>
      </c>
      <c r="K68" s="3">
        <v>0</v>
      </c>
      <c r="L68" s="76">
        <v>0</v>
      </c>
      <c r="M68" s="2">
        <v>0</v>
      </c>
      <c r="N68" s="74">
        <v>0</v>
      </c>
      <c r="O68" s="2">
        <v>0</v>
      </c>
      <c r="P68" s="74">
        <v>0</v>
      </c>
      <c r="Q68" s="2">
        <v>0</v>
      </c>
      <c r="R68" s="74">
        <v>0</v>
      </c>
      <c r="S68" s="2">
        <v>0</v>
      </c>
      <c r="T68" s="74">
        <v>0</v>
      </c>
      <c r="U68" s="74" t="e">
        <f>#REF!*0.08</f>
        <v>#REF!</v>
      </c>
      <c r="V68" s="74" t="e">
        <f>#REF!*0.0214</f>
        <v>#REF!</v>
      </c>
      <c r="W68" s="74" t="e">
        <f>#REF!+U68+V68</f>
        <v>#REF!</v>
      </c>
      <c r="X68" s="68"/>
    </row>
    <row r="69" spans="1:24" x14ac:dyDescent="0.25">
      <c r="A69" s="3">
        <v>60</v>
      </c>
      <c r="B69" s="73" t="s">
        <v>104</v>
      </c>
      <c r="C69" s="35">
        <f t="shared" si="1"/>
        <v>907153.9</v>
      </c>
      <c r="D69" s="74">
        <v>0</v>
      </c>
      <c r="E69" s="74">
        <v>0</v>
      </c>
      <c r="F69" s="74">
        <v>0</v>
      </c>
      <c r="G69" s="74">
        <v>0</v>
      </c>
      <c r="H69" s="74">
        <v>0</v>
      </c>
      <c r="I69" s="74">
        <v>0</v>
      </c>
      <c r="J69" s="74">
        <v>0</v>
      </c>
      <c r="K69" s="3">
        <v>0</v>
      </c>
      <c r="L69" s="76">
        <v>0</v>
      </c>
      <c r="M69" s="2">
        <v>641</v>
      </c>
      <c r="N69" s="74">
        <v>907153.9</v>
      </c>
      <c r="O69" s="2">
        <v>0</v>
      </c>
      <c r="P69" s="74">
        <v>0</v>
      </c>
      <c r="Q69" s="2">
        <v>0</v>
      </c>
      <c r="R69" s="74">
        <v>0</v>
      </c>
      <c r="S69" s="2">
        <v>0</v>
      </c>
      <c r="T69" s="74">
        <v>0</v>
      </c>
      <c r="U69" s="74" t="e">
        <f>#REF!*0.08</f>
        <v>#REF!</v>
      </c>
      <c r="V69" s="74" t="e">
        <f>#REF!*0.0214</f>
        <v>#REF!</v>
      </c>
      <c r="W69" s="74" t="e">
        <f>#REF!+U69+V69</f>
        <v>#REF!</v>
      </c>
      <c r="X69" s="68"/>
    </row>
    <row r="70" spans="1:24" x14ac:dyDescent="0.25">
      <c r="A70" s="3">
        <v>61</v>
      </c>
      <c r="B70" s="73" t="s">
        <v>110</v>
      </c>
      <c r="C70" s="35">
        <f t="shared" si="1"/>
        <v>1210747.6399999999</v>
      </c>
      <c r="D70" s="74">
        <v>0</v>
      </c>
      <c r="E70" s="74">
        <v>0</v>
      </c>
      <c r="F70" s="74">
        <v>0</v>
      </c>
      <c r="G70" s="74">
        <v>0</v>
      </c>
      <c r="H70" s="74">
        <v>0</v>
      </c>
      <c r="I70" s="74">
        <v>0</v>
      </c>
      <c r="J70" s="74">
        <v>0</v>
      </c>
      <c r="K70" s="3">
        <v>0</v>
      </c>
      <c r="L70" s="76">
        <v>0</v>
      </c>
      <c r="M70" s="2">
        <v>643</v>
      </c>
      <c r="N70" s="74">
        <v>1210747.6399999999</v>
      </c>
      <c r="O70" s="2">
        <v>0</v>
      </c>
      <c r="P70" s="74">
        <v>0</v>
      </c>
      <c r="Q70" s="2">
        <v>0</v>
      </c>
      <c r="R70" s="74">
        <v>0</v>
      </c>
      <c r="S70" s="2">
        <v>0</v>
      </c>
      <c r="T70" s="74">
        <v>0</v>
      </c>
      <c r="U70" s="74" t="e">
        <f>#REF!*0.08</f>
        <v>#REF!</v>
      </c>
      <c r="V70" s="74" t="e">
        <f>#REF!*0.0214</f>
        <v>#REF!</v>
      </c>
      <c r="W70" s="74" t="e">
        <f>#REF!+U70+V70</f>
        <v>#REF!</v>
      </c>
      <c r="X70" s="68"/>
    </row>
    <row r="71" spans="1:24" x14ac:dyDescent="0.25">
      <c r="A71" s="3">
        <v>62</v>
      </c>
      <c r="B71" s="73" t="s">
        <v>103</v>
      </c>
      <c r="C71" s="35">
        <f t="shared" si="1"/>
        <v>1501103.24</v>
      </c>
      <c r="D71" s="74">
        <v>0</v>
      </c>
      <c r="E71" s="74">
        <v>0</v>
      </c>
      <c r="F71" s="74">
        <v>0</v>
      </c>
      <c r="G71" s="74">
        <v>0</v>
      </c>
      <c r="H71" s="74">
        <v>0</v>
      </c>
      <c r="I71" s="74">
        <v>0</v>
      </c>
      <c r="J71" s="74">
        <v>0</v>
      </c>
      <c r="K71" s="3">
        <v>0</v>
      </c>
      <c r="L71" s="76">
        <v>0</v>
      </c>
      <c r="M71" s="2">
        <v>0</v>
      </c>
      <c r="N71" s="74">
        <v>0</v>
      </c>
      <c r="O71" s="2">
        <v>0</v>
      </c>
      <c r="P71" s="74">
        <v>0</v>
      </c>
      <c r="Q71" s="2">
        <v>2224</v>
      </c>
      <c r="R71" s="74">
        <v>1501103.24</v>
      </c>
      <c r="S71" s="2">
        <v>0</v>
      </c>
      <c r="T71" s="74">
        <v>0</v>
      </c>
      <c r="U71" s="74" t="e">
        <f>#REF!*0.08</f>
        <v>#REF!</v>
      </c>
      <c r="V71" s="74" t="e">
        <f>#REF!*0.0214</f>
        <v>#REF!</v>
      </c>
      <c r="W71" s="74" t="e">
        <f>#REF!+U71+V71</f>
        <v>#REF!</v>
      </c>
      <c r="X71" s="68"/>
    </row>
    <row r="72" spans="1:24" x14ac:dyDescent="0.25">
      <c r="A72" s="3">
        <v>63</v>
      </c>
      <c r="B72" s="73" t="s">
        <v>102</v>
      </c>
      <c r="C72" s="35">
        <f t="shared" si="1"/>
        <v>2878092.16</v>
      </c>
      <c r="D72" s="74">
        <v>0</v>
      </c>
      <c r="E72" s="74">
        <v>0</v>
      </c>
      <c r="F72" s="74">
        <v>0</v>
      </c>
      <c r="G72" s="74">
        <v>0</v>
      </c>
      <c r="H72" s="74">
        <v>0</v>
      </c>
      <c r="I72" s="74">
        <v>0</v>
      </c>
      <c r="J72" s="74">
        <v>0</v>
      </c>
      <c r="K72" s="3">
        <v>0</v>
      </c>
      <c r="L72" s="76">
        <v>0</v>
      </c>
      <c r="M72" s="2">
        <v>1467</v>
      </c>
      <c r="N72" s="74">
        <v>2878092.16</v>
      </c>
      <c r="O72" s="2">
        <v>0</v>
      </c>
      <c r="P72" s="74">
        <v>0</v>
      </c>
      <c r="Q72" s="2">
        <v>0</v>
      </c>
      <c r="R72" s="74">
        <v>0</v>
      </c>
      <c r="S72" s="2">
        <v>0</v>
      </c>
      <c r="T72" s="74">
        <v>0</v>
      </c>
      <c r="U72" s="74" t="e">
        <f>#REF!*0.08</f>
        <v>#REF!</v>
      </c>
      <c r="V72" s="74" t="e">
        <f>#REF!*0.0214</f>
        <v>#REF!</v>
      </c>
      <c r="W72" s="74" t="e">
        <f>#REF!+U72+V72</f>
        <v>#REF!</v>
      </c>
      <c r="X72" s="68"/>
    </row>
    <row r="73" spans="1:24" x14ac:dyDescent="0.25">
      <c r="A73" s="3">
        <v>64</v>
      </c>
      <c r="B73" s="73" t="s">
        <v>89</v>
      </c>
      <c r="C73" s="35">
        <f t="shared" si="1"/>
        <v>978584.07</v>
      </c>
      <c r="D73" s="74">
        <v>0</v>
      </c>
      <c r="E73" s="74">
        <v>0</v>
      </c>
      <c r="F73" s="74">
        <v>0</v>
      </c>
      <c r="G73" s="74">
        <v>0</v>
      </c>
      <c r="H73" s="74">
        <v>0</v>
      </c>
      <c r="I73" s="74">
        <v>0</v>
      </c>
      <c r="J73" s="74">
        <v>0</v>
      </c>
      <c r="K73" s="3">
        <v>0</v>
      </c>
      <c r="L73" s="76">
        <v>0</v>
      </c>
      <c r="M73" s="2">
        <v>498</v>
      </c>
      <c r="N73" s="74">
        <v>978584.07</v>
      </c>
      <c r="O73" s="2">
        <v>0</v>
      </c>
      <c r="P73" s="74">
        <v>0</v>
      </c>
      <c r="Q73" s="2">
        <v>0</v>
      </c>
      <c r="R73" s="74">
        <v>0</v>
      </c>
      <c r="S73" s="2">
        <v>0</v>
      </c>
      <c r="T73" s="74">
        <v>0</v>
      </c>
      <c r="U73" s="74" t="e">
        <f>#REF!*0.08</f>
        <v>#REF!</v>
      </c>
      <c r="V73" s="74" t="e">
        <f>#REF!*0.0214</f>
        <v>#REF!</v>
      </c>
      <c r="W73" s="74" t="e">
        <f>#REF!+U73+V73</f>
        <v>#REF!</v>
      </c>
      <c r="X73" s="68"/>
    </row>
    <row r="74" spans="1:24" x14ac:dyDescent="0.25">
      <c r="A74" s="3">
        <v>65</v>
      </c>
      <c r="B74" s="73" t="s">
        <v>106</v>
      </c>
      <c r="C74" s="35">
        <f t="shared" ref="C74:C91" si="2">SUM(E74:J74)+L74+N74+P74+R74+T74</f>
        <v>1470820.58</v>
      </c>
      <c r="D74" s="74">
        <v>0</v>
      </c>
      <c r="E74" s="74">
        <v>0</v>
      </c>
      <c r="F74" s="74">
        <v>0</v>
      </c>
      <c r="G74" s="74">
        <v>0</v>
      </c>
      <c r="H74" s="74">
        <v>0</v>
      </c>
      <c r="I74" s="74">
        <v>0</v>
      </c>
      <c r="J74" s="74">
        <v>0</v>
      </c>
      <c r="K74" s="3">
        <v>0</v>
      </c>
      <c r="L74" s="76">
        <v>0</v>
      </c>
      <c r="M74" s="2">
        <v>738</v>
      </c>
      <c r="N74" s="74">
        <v>1470820.58</v>
      </c>
      <c r="O74" s="2">
        <v>0</v>
      </c>
      <c r="P74" s="74">
        <v>0</v>
      </c>
      <c r="Q74" s="2">
        <v>0</v>
      </c>
      <c r="R74" s="74">
        <v>0</v>
      </c>
      <c r="S74" s="2">
        <v>0</v>
      </c>
      <c r="T74" s="74">
        <v>0</v>
      </c>
      <c r="U74" s="74" t="e">
        <f>#REF!*0.08</f>
        <v>#REF!</v>
      </c>
      <c r="V74" s="74" t="e">
        <f>#REF!*0.0214</f>
        <v>#REF!</v>
      </c>
      <c r="W74" s="74" t="e">
        <f>#REF!+U74+V74</f>
        <v>#REF!</v>
      </c>
      <c r="X74" s="68"/>
    </row>
    <row r="75" spans="1:24" x14ac:dyDescent="0.25">
      <c r="A75" s="3">
        <v>66</v>
      </c>
      <c r="B75" s="79" t="s">
        <v>118</v>
      </c>
      <c r="C75" s="35">
        <f t="shared" si="2"/>
        <v>618191.81999999995</v>
      </c>
      <c r="D75" s="35">
        <f>SUM(E75:J75)</f>
        <v>618191.81999999995</v>
      </c>
      <c r="E75" s="74">
        <v>0</v>
      </c>
      <c r="F75" s="74">
        <v>618191.81999999995</v>
      </c>
      <c r="G75" s="74">
        <v>0</v>
      </c>
      <c r="H75" s="74">
        <v>0</v>
      </c>
      <c r="I75" s="74">
        <v>0</v>
      </c>
      <c r="J75" s="74">
        <v>0</v>
      </c>
      <c r="K75" s="3">
        <v>0</v>
      </c>
      <c r="L75" s="76">
        <v>0</v>
      </c>
      <c r="M75" s="2">
        <v>0</v>
      </c>
      <c r="N75" s="74">
        <v>0</v>
      </c>
      <c r="O75" s="2">
        <v>0</v>
      </c>
      <c r="P75" s="74">
        <v>0</v>
      </c>
      <c r="Q75" s="2">
        <v>0</v>
      </c>
      <c r="R75" s="74">
        <v>0</v>
      </c>
      <c r="S75" s="2">
        <v>0</v>
      </c>
      <c r="T75" s="74">
        <v>0</v>
      </c>
      <c r="U75" s="74" t="e">
        <f>#REF!*0.08</f>
        <v>#REF!</v>
      </c>
      <c r="V75" s="74" t="e">
        <f>#REF!*0.0214</f>
        <v>#REF!</v>
      </c>
      <c r="W75" s="74" t="e">
        <f>#REF!+U75+V75</f>
        <v>#REF!</v>
      </c>
      <c r="X75" s="68"/>
    </row>
    <row r="76" spans="1:24" x14ac:dyDescent="0.25">
      <c r="A76" s="3">
        <v>67</v>
      </c>
      <c r="B76" s="73" t="s">
        <v>43</v>
      </c>
      <c r="C76" s="35">
        <f t="shared" si="2"/>
        <v>2517713.42</v>
      </c>
      <c r="D76" s="74">
        <v>0</v>
      </c>
      <c r="E76" s="74">
        <v>0</v>
      </c>
      <c r="F76" s="74">
        <v>0</v>
      </c>
      <c r="G76" s="74">
        <v>0</v>
      </c>
      <c r="H76" s="74">
        <v>0</v>
      </c>
      <c r="I76" s="74">
        <v>0</v>
      </c>
      <c r="J76" s="74">
        <v>0</v>
      </c>
      <c r="K76" s="3">
        <v>0</v>
      </c>
      <c r="L76" s="74">
        <v>0</v>
      </c>
      <c r="M76" s="2">
        <v>1264</v>
      </c>
      <c r="N76" s="74">
        <v>2517713.42</v>
      </c>
      <c r="O76" s="3">
        <v>0</v>
      </c>
      <c r="P76" s="74">
        <v>0</v>
      </c>
      <c r="Q76" s="3">
        <v>0</v>
      </c>
      <c r="R76" s="74">
        <v>0</v>
      </c>
      <c r="S76" s="3">
        <v>0</v>
      </c>
      <c r="T76" s="74">
        <v>0</v>
      </c>
      <c r="U76" s="74" t="e">
        <f>#REF!*0.08</f>
        <v>#REF!</v>
      </c>
      <c r="V76" s="74" t="e">
        <f>#REF!*0.0214</f>
        <v>#REF!</v>
      </c>
      <c r="W76" s="74" t="e">
        <f>#REF!+U76+V76</f>
        <v>#REF!</v>
      </c>
      <c r="X76" s="68"/>
    </row>
    <row r="77" spans="1:24" x14ac:dyDescent="0.25">
      <c r="A77" s="3">
        <v>68</v>
      </c>
      <c r="B77" s="73" t="s">
        <v>46</v>
      </c>
      <c r="C77" s="35">
        <f t="shared" si="2"/>
        <v>1601524</v>
      </c>
      <c r="D77" s="74">
        <v>0</v>
      </c>
      <c r="E77" s="74">
        <v>0</v>
      </c>
      <c r="F77" s="74">
        <v>0</v>
      </c>
      <c r="G77" s="74">
        <v>0</v>
      </c>
      <c r="H77" s="74">
        <v>0</v>
      </c>
      <c r="I77" s="74">
        <v>0</v>
      </c>
      <c r="J77" s="74">
        <v>0</v>
      </c>
      <c r="K77" s="3">
        <v>0</v>
      </c>
      <c r="L77" s="74">
        <v>0</v>
      </c>
      <c r="M77" s="3">
        <v>1040</v>
      </c>
      <c r="N77" s="74">
        <v>1601524</v>
      </c>
      <c r="O77" s="3">
        <v>0</v>
      </c>
      <c r="P77" s="74">
        <v>0</v>
      </c>
      <c r="Q77" s="3">
        <v>0</v>
      </c>
      <c r="R77" s="74">
        <v>0</v>
      </c>
      <c r="S77" s="3">
        <v>0</v>
      </c>
      <c r="T77" s="74">
        <v>0</v>
      </c>
      <c r="U77" s="74" t="e">
        <f>#REF!*0.08</f>
        <v>#REF!</v>
      </c>
      <c r="V77" s="74" t="e">
        <f>#REF!*0.0214</f>
        <v>#REF!</v>
      </c>
      <c r="W77" s="74" t="e">
        <f>#REF!+U77+V77</f>
        <v>#REF!</v>
      </c>
      <c r="X77" s="68"/>
    </row>
    <row r="78" spans="1:24" ht="25.5" x14ac:dyDescent="0.25">
      <c r="A78" s="3">
        <v>69</v>
      </c>
      <c r="B78" s="73" t="s">
        <v>49</v>
      </c>
      <c r="C78" s="35">
        <f t="shared" si="2"/>
        <v>491179.94</v>
      </c>
      <c r="D78" s="35">
        <f>SUM(E78:J78)</f>
        <v>491179.94</v>
      </c>
      <c r="E78" s="74">
        <v>0</v>
      </c>
      <c r="F78" s="74">
        <v>0</v>
      </c>
      <c r="G78" s="74">
        <v>252760.3</v>
      </c>
      <c r="H78" s="74">
        <v>0</v>
      </c>
      <c r="I78" s="74">
        <v>238419.64</v>
      </c>
      <c r="J78" s="74">
        <v>0</v>
      </c>
      <c r="K78" s="3">
        <v>0</v>
      </c>
      <c r="L78" s="74">
        <v>0</v>
      </c>
      <c r="M78" s="3">
        <v>0</v>
      </c>
      <c r="N78" s="74">
        <v>0</v>
      </c>
      <c r="O78" s="3">
        <v>0</v>
      </c>
      <c r="P78" s="74">
        <v>0</v>
      </c>
      <c r="Q78" s="3">
        <v>0</v>
      </c>
      <c r="R78" s="74">
        <v>0</v>
      </c>
      <c r="S78" s="3">
        <v>0</v>
      </c>
      <c r="T78" s="74">
        <v>0</v>
      </c>
      <c r="U78" s="74" t="e">
        <f>#REF!*0.08</f>
        <v>#REF!</v>
      </c>
      <c r="V78" s="74" t="e">
        <f>#REF!*0.0214</f>
        <v>#REF!</v>
      </c>
      <c r="W78" s="74" t="e">
        <f>#REF!+U78+V78</f>
        <v>#REF!</v>
      </c>
      <c r="X78" s="68"/>
    </row>
    <row r="79" spans="1:24" x14ac:dyDescent="0.25">
      <c r="A79" s="3">
        <v>70</v>
      </c>
      <c r="B79" s="73" t="s">
        <v>61</v>
      </c>
      <c r="C79" s="35">
        <f t="shared" si="2"/>
        <v>2209307.77</v>
      </c>
      <c r="D79" s="74">
        <v>0</v>
      </c>
      <c r="E79" s="74">
        <v>0</v>
      </c>
      <c r="F79" s="74">
        <v>0</v>
      </c>
      <c r="G79" s="74">
        <v>0</v>
      </c>
      <c r="H79" s="74">
        <v>0</v>
      </c>
      <c r="I79" s="74">
        <v>0</v>
      </c>
      <c r="J79" s="74">
        <v>0</v>
      </c>
      <c r="K79" s="3">
        <v>0</v>
      </c>
      <c r="L79" s="74">
        <v>0</v>
      </c>
      <c r="M79" s="2">
        <v>1223</v>
      </c>
      <c r="N79" s="74">
        <v>2209307.77</v>
      </c>
      <c r="O79" s="2">
        <v>0</v>
      </c>
      <c r="P79" s="74">
        <v>0</v>
      </c>
      <c r="Q79" s="2">
        <v>0</v>
      </c>
      <c r="R79" s="74">
        <v>0</v>
      </c>
      <c r="S79" s="3">
        <v>0</v>
      </c>
      <c r="T79" s="74">
        <v>0</v>
      </c>
      <c r="U79" s="74" t="e">
        <f>#REF!*0.08</f>
        <v>#REF!</v>
      </c>
      <c r="V79" s="74" t="e">
        <f>#REF!*0.0214</f>
        <v>#REF!</v>
      </c>
      <c r="W79" s="74" t="e">
        <f>#REF!+U79+V79</f>
        <v>#REF!</v>
      </c>
      <c r="X79" s="68"/>
    </row>
    <row r="80" spans="1:24" x14ac:dyDescent="0.25">
      <c r="A80" s="3">
        <v>71</v>
      </c>
      <c r="B80" s="73" t="s">
        <v>62</v>
      </c>
      <c r="C80" s="35">
        <f t="shared" si="2"/>
        <v>1454781.04</v>
      </c>
      <c r="D80" s="74">
        <v>0</v>
      </c>
      <c r="E80" s="74">
        <v>0</v>
      </c>
      <c r="F80" s="74">
        <v>0</v>
      </c>
      <c r="G80" s="74">
        <v>0</v>
      </c>
      <c r="H80" s="74">
        <v>0</v>
      </c>
      <c r="I80" s="74">
        <v>0</v>
      </c>
      <c r="J80" s="74">
        <v>0</v>
      </c>
      <c r="K80" s="3">
        <v>0</v>
      </c>
      <c r="L80" s="74">
        <v>0</v>
      </c>
      <c r="M80" s="2">
        <v>1074</v>
      </c>
      <c r="N80" s="74">
        <v>1454781.04</v>
      </c>
      <c r="O80" s="2">
        <v>0</v>
      </c>
      <c r="P80" s="74">
        <v>0</v>
      </c>
      <c r="Q80" s="2">
        <v>0</v>
      </c>
      <c r="R80" s="74">
        <v>0</v>
      </c>
      <c r="S80" s="3">
        <v>0</v>
      </c>
      <c r="T80" s="74">
        <v>0</v>
      </c>
      <c r="U80" s="74" t="e">
        <f>#REF!*0.08</f>
        <v>#REF!</v>
      </c>
      <c r="V80" s="74" t="e">
        <f>#REF!*0.0214</f>
        <v>#REF!</v>
      </c>
      <c r="W80" s="74" t="e">
        <f>#REF!+U80+V80</f>
        <v>#REF!</v>
      </c>
      <c r="X80" s="68"/>
    </row>
    <row r="81" spans="1:24" ht="25.5" x14ac:dyDescent="0.25">
      <c r="A81" s="3">
        <v>72</v>
      </c>
      <c r="B81" s="73" t="s">
        <v>92</v>
      </c>
      <c r="C81" s="35">
        <f t="shared" si="2"/>
        <v>664144</v>
      </c>
      <c r="D81" s="74">
        <v>0</v>
      </c>
      <c r="E81" s="74">
        <v>0</v>
      </c>
      <c r="F81" s="74">
        <v>0</v>
      </c>
      <c r="G81" s="74">
        <v>0</v>
      </c>
      <c r="H81" s="74">
        <v>0</v>
      </c>
      <c r="I81" s="74">
        <v>0</v>
      </c>
      <c r="J81" s="74">
        <v>0</v>
      </c>
      <c r="K81" s="3">
        <v>0</v>
      </c>
      <c r="L81" s="76">
        <v>0</v>
      </c>
      <c r="M81" s="2">
        <v>390</v>
      </c>
      <c r="N81" s="74">
        <v>664144</v>
      </c>
      <c r="O81" s="2">
        <v>0</v>
      </c>
      <c r="P81" s="74">
        <v>0</v>
      </c>
      <c r="Q81" s="2">
        <v>0</v>
      </c>
      <c r="R81" s="74">
        <v>0</v>
      </c>
      <c r="S81" s="2">
        <v>0</v>
      </c>
      <c r="T81" s="74">
        <v>0</v>
      </c>
      <c r="U81" s="74" t="e">
        <f>#REF!*0.08</f>
        <v>#REF!</v>
      </c>
      <c r="V81" s="74" t="e">
        <f>#REF!*0.0214</f>
        <v>#REF!</v>
      </c>
      <c r="W81" s="74" t="e">
        <f>#REF!+U81+V81</f>
        <v>#REF!</v>
      </c>
      <c r="X81" s="68"/>
    </row>
    <row r="82" spans="1:24" x14ac:dyDescent="0.25">
      <c r="A82" s="3">
        <v>73</v>
      </c>
      <c r="B82" s="73" t="s">
        <v>93</v>
      </c>
      <c r="C82" s="35">
        <f t="shared" si="2"/>
        <v>934772.21</v>
      </c>
      <c r="D82" s="74">
        <v>0</v>
      </c>
      <c r="E82" s="74">
        <v>0</v>
      </c>
      <c r="F82" s="74">
        <v>0</v>
      </c>
      <c r="G82" s="74">
        <v>0</v>
      </c>
      <c r="H82" s="74">
        <v>0</v>
      </c>
      <c r="I82" s="74">
        <v>0</v>
      </c>
      <c r="J82" s="74">
        <v>0</v>
      </c>
      <c r="K82" s="3">
        <v>0</v>
      </c>
      <c r="L82" s="76">
        <v>0</v>
      </c>
      <c r="M82" s="2">
        <v>649.79999999999995</v>
      </c>
      <c r="N82" s="74">
        <v>934772.21</v>
      </c>
      <c r="O82" s="2">
        <v>0</v>
      </c>
      <c r="P82" s="74">
        <v>0</v>
      </c>
      <c r="Q82" s="2">
        <v>0</v>
      </c>
      <c r="R82" s="74">
        <v>0</v>
      </c>
      <c r="S82" s="2">
        <v>0</v>
      </c>
      <c r="T82" s="74">
        <v>0</v>
      </c>
      <c r="U82" s="74" t="e">
        <f>#REF!*0.08</f>
        <v>#REF!</v>
      </c>
      <c r="V82" s="74" t="e">
        <f>#REF!*0.0214</f>
        <v>#REF!</v>
      </c>
      <c r="W82" s="74" t="e">
        <f>#REF!+U82+V82</f>
        <v>#REF!</v>
      </c>
      <c r="X82" s="68"/>
    </row>
    <row r="83" spans="1:24" x14ac:dyDescent="0.25">
      <c r="A83" s="3">
        <v>74</v>
      </c>
      <c r="B83" s="73" t="s">
        <v>101</v>
      </c>
      <c r="C83" s="35">
        <f t="shared" si="2"/>
        <v>1014495.22</v>
      </c>
      <c r="D83" s="35">
        <f>SUM(E83:J83)</f>
        <v>1014495.22</v>
      </c>
      <c r="E83" s="74">
        <v>0</v>
      </c>
      <c r="F83" s="74">
        <v>364967.14</v>
      </c>
      <c r="G83" s="74">
        <v>309665.76</v>
      </c>
      <c r="H83" s="74">
        <v>0</v>
      </c>
      <c r="I83" s="74">
        <v>339862.32</v>
      </c>
      <c r="J83" s="74">
        <v>0</v>
      </c>
      <c r="K83" s="3">
        <v>0</v>
      </c>
      <c r="L83" s="76">
        <v>0</v>
      </c>
      <c r="M83" s="2">
        <v>0</v>
      </c>
      <c r="N83" s="74">
        <v>0</v>
      </c>
      <c r="O83" s="2">
        <v>0</v>
      </c>
      <c r="P83" s="74">
        <v>0</v>
      </c>
      <c r="Q83" s="2">
        <v>0</v>
      </c>
      <c r="R83" s="74">
        <v>0</v>
      </c>
      <c r="S83" s="2">
        <v>0</v>
      </c>
      <c r="T83" s="74">
        <v>0</v>
      </c>
      <c r="U83" s="74" t="e">
        <f>#REF!*0.08</f>
        <v>#REF!</v>
      </c>
      <c r="V83" s="74" t="e">
        <f>#REF!*0.0214</f>
        <v>#REF!</v>
      </c>
      <c r="W83" s="74" t="e">
        <f>#REF!+U83+V83</f>
        <v>#REF!</v>
      </c>
      <c r="X83" s="68"/>
    </row>
    <row r="84" spans="1:24" ht="25.5" x14ac:dyDescent="0.25">
      <c r="A84" s="3">
        <v>75</v>
      </c>
      <c r="B84" s="73" t="s">
        <v>91</v>
      </c>
      <c r="C84" s="35">
        <f t="shared" si="2"/>
        <v>1738513.51</v>
      </c>
      <c r="D84" s="74">
        <v>0</v>
      </c>
      <c r="E84" s="74">
        <v>0</v>
      </c>
      <c r="F84" s="74">
        <v>0</v>
      </c>
      <c r="G84" s="74">
        <v>0</v>
      </c>
      <c r="H84" s="74">
        <v>0</v>
      </c>
      <c r="I84" s="74">
        <v>0</v>
      </c>
      <c r="J84" s="74">
        <v>0</v>
      </c>
      <c r="K84" s="3">
        <v>0</v>
      </c>
      <c r="L84" s="76">
        <v>0</v>
      </c>
      <c r="M84" s="2">
        <v>888</v>
      </c>
      <c r="N84" s="74">
        <v>1738513.51</v>
      </c>
      <c r="O84" s="2">
        <v>0</v>
      </c>
      <c r="P84" s="74">
        <v>0</v>
      </c>
      <c r="Q84" s="2">
        <v>0</v>
      </c>
      <c r="R84" s="74">
        <v>0</v>
      </c>
      <c r="S84" s="2">
        <v>0</v>
      </c>
      <c r="T84" s="74">
        <v>0</v>
      </c>
      <c r="U84" s="74" t="e">
        <f>#REF!*0.08</f>
        <v>#REF!</v>
      </c>
      <c r="V84" s="74" t="e">
        <f>#REF!*0.0214</f>
        <v>#REF!</v>
      </c>
      <c r="W84" s="74" t="e">
        <f>#REF!+U84+V84</f>
        <v>#REF!</v>
      </c>
      <c r="X84" s="68"/>
    </row>
    <row r="85" spans="1:24" x14ac:dyDescent="0.25">
      <c r="A85" s="3">
        <v>76</v>
      </c>
      <c r="B85" s="73" t="s">
        <v>105</v>
      </c>
      <c r="C85" s="35">
        <f t="shared" si="2"/>
        <v>3448770.54</v>
      </c>
      <c r="D85" s="74">
        <v>0</v>
      </c>
      <c r="E85" s="74">
        <v>0</v>
      </c>
      <c r="F85" s="74">
        <v>0</v>
      </c>
      <c r="G85" s="74">
        <v>0</v>
      </c>
      <c r="H85" s="74">
        <v>0</v>
      </c>
      <c r="I85" s="74">
        <v>0</v>
      </c>
      <c r="J85" s="74">
        <v>0</v>
      </c>
      <c r="K85" s="3">
        <v>0</v>
      </c>
      <c r="L85" s="76">
        <v>0</v>
      </c>
      <c r="M85" s="2">
        <v>1730</v>
      </c>
      <c r="N85" s="74">
        <v>3448770.54</v>
      </c>
      <c r="O85" s="2">
        <v>0</v>
      </c>
      <c r="P85" s="74">
        <v>0</v>
      </c>
      <c r="Q85" s="2">
        <v>0</v>
      </c>
      <c r="R85" s="74">
        <v>0</v>
      </c>
      <c r="S85" s="2">
        <v>0</v>
      </c>
      <c r="T85" s="74">
        <v>0</v>
      </c>
      <c r="U85" s="74"/>
      <c r="V85" s="74"/>
      <c r="W85" s="74"/>
      <c r="X85" s="68"/>
    </row>
    <row r="86" spans="1:24" x14ac:dyDescent="0.25">
      <c r="A86" s="3">
        <v>77</v>
      </c>
      <c r="B86" s="73" t="s">
        <v>55</v>
      </c>
      <c r="C86" s="35">
        <f t="shared" si="2"/>
        <v>2674089.0699999998</v>
      </c>
      <c r="D86" s="74">
        <v>0</v>
      </c>
      <c r="E86" s="74">
        <v>0</v>
      </c>
      <c r="F86" s="74">
        <v>0</v>
      </c>
      <c r="G86" s="74">
        <v>0</v>
      </c>
      <c r="H86" s="74">
        <v>0</v>
      </c>
      <c r="I86" s="74">
        <v>0</v>
      </c>
      <c r="J86" s="74">
        <v>0</v>
      </c>
      <c r="K86" s="3">
        <v>0</v>
      </c>
      <c r="L86" s="74">
        <v>0</v>
      </c>
      <c r="M86" s="2">
        <v>0</v>
      </c>
      <c r="N86" s="74">
        <v>0</v>
      </c>
      <c r="O86" s="2">
        <v>0</v>
      </c>
      <c r="P86" s="74">
        <v>0</v>
      </c>
      <c r="Q86" s="2">
        <v>1926</v>
      </c>
      <c r="R86" s="74">
        <v>2674089.0699999998</v>
      </c>
      <c r="S86" s="3">
        <v>0</v>
      </c>
      <c r="T86" s="74">
        <v>0</v>
      </c>
      <c r="U86" s="74" t="e">
        <f>#REF!*0.08</f>
        <v>#REF!</v>
      </c>
      <c r="V86" s="74" t="e">
        <f>#REF!*0.0214</f>
        <v>#REF!</v>
      </c>
      <c r="W86" s="74" t="e">
        <f>#REF!+U86+V86</f>
        <v>#REF!</v>
      </c>
      <c r="X86" s="68"/>
    </row>
    <row r="87" spans="1:24" x14ac:dyDescent="0.25">
      <c r="A87" s="3">
        <v>78</v>
      </c>
      <c r="B87" s="73" t="s">
        <v>115</v>
      </c>
      <c r="C87" s="35">
        <f t="shared" si="2"/>
        <v>2534483.6500000004</v>
      </c>
      <c r="D87" s="35">
        <f>SUM(E87:J87)</f>
        <v>370571.16</v>
      </c>
      <c r="E87" s="74">
        <v>0</v>
      </c>
      <c r="F87" s="74">
        <v>0</v>
      </c>
      <c r="G87" s="74">
        <v>0</v>
      </c>
      <c r="H87" s="74">
        <v>0</v>
      </c>
      <c r="I87" s="74">
        <v>370571.16</v>
      </c>
      <c r="J87" s="74">
        <v>0</v>
      </c>
      <c r="K87" s="3">
        <v>0</v>
      </c>
      <c r="L87" s="76">
        <v>0</v>
      </c>
      <c r="M87" s="2">
        <v>0</v>
      </c>
      <c r="N87" s="74">
        <v>0</v>
      </c>
      <c r="O87" s="2">
        <v>0</v>
      </c>
      <c r="P87" s="74">
        <v>0</v>
      </c>
      <c r="Q87" s="2">
        <v>2343</v>
      </c>
      <c r="R87" s="74">
        <v>2163912.4900000002</v>
      </c>
      <c r="S87" s="2">
        <v>0</v>
      </c>
      <c r="T87" s="74">
        <v>0</v>
      </c>
      <c r="U87" s="74"/>
      <c r="V87" s="74"/>
      <c r="W87" s="74"/>
      <c r="X87" s="68"/>
    </row>
    <row r="88" spans="1:24" x14ac:dyDescent="0.25">
      <c r="A88" s="3">
        <v>79</v>
      </c>
      <c r="B88" s="73" t="s">
        <v>114</v>
      </c>
      <c r="C88" s="35">
        <f t="shared" si="2"/>
        <v>4388153.04</v>
      </c>
      <c r="D88" s="35">
        <f>E88+G88+H88+I88</f>
        <v>4388153.04</v>
      </c>
      <c r="E88" s="74">
        <v>942082.28</v>
      </c>
      <c r="F88" s="74">
        <v>0</v>
      </c>
      <c r="G88" s="74">
        <v>1313967.05</v>
      </c>
      <c r="H88" s="74">
        <v>1245495.42</v>
      </c>
      <c r="I88" s="74">
        <v>886608.29</v>
      </c>
      <c r="J88" s="74">
        <v>0</v>
      </c>
      <c r="K88" s="3">
        <v>0</v>
      </c>
      <c r="L88" s="76">
        <v>0</v>
      </c>
      <c r="M88" s="2">
        <v>0</v>
      </c>
      <c r="N88" s="74">
        <v>0</v>
      </c>
      <c r="O88" s="2">
        <v>0</v>
      </c>
      <c r="P88" s="74">
        <v>0</v>
      </c>
      <c r="Q88" s="2">
        <v>0</v>
      </c>
      <c r="R88" s="74">
        <v>0</v>
      </c>
      <c r="S88" s="2">
        <v>0</v>
      </c>
      <c r="T88" s="74">
        <v>0</v>
      </c>
      <c r="U88" s="74" t="e">
        <f>#REF!*0.08</f>
        <v>#REF!</v>
      </c>
      <c r="V88" s="74" t="e">
        <f>#REF!*0.0214</f>
        <v>#REF!</v>
      </c>
      <c r="W88" s="74" t="e">
        <f>#REF!+U88+V88</f>
        <v>#REF!</v>
      </c>
      <c r="X88" s="68"/>
    </row>
    <row r="89" spans="1:24" x14ac:dyDescent="0.25">
      <c r="A89" s="3">
        <v>80</v>
      </c>
      <c r="B89" s="73" t="s">
        <v>77</v>
      </c>
      <c r="C89" s="35">
        <f t="shared" si="2"/>
        <v>1026381.29</v>
      </c>
      <c r="D89" s="74">
        <v>0</v>
      </c>
      <c r="E89" s="74">
        <v>0</v>
      </c>
      <c r="F89" s="74">
        <v>0</v>
      </c>
      <c r="G89" s="74">
        <v>0</v>
      </c>
      <c r="H89" s="74">
        <v>0</v>
      </c>
      <c r="I89" s="74">
        <v>0</v>
      </c>
      <c r="J89" s="74">
        <v>0</v>
      </c>
      <c r="K89" s="3">
        <v>0</v>
      </c>
      <c r="L89" s="74">
        <v>0</v>
      </c>
      <c r="M89" s="2">
        <v>0</v>
      </c>
      <c r="N89" s="74">
        <v>0</v>
      </c>
      <c r="O89" s="2">
        <v>0</v>
      </c>
      <c r="P89" s="74">
        <v>0</v>
      </c>
      <c r="Q89" s="2">
        <v>1657</v>
      </c>
      <c r="R89" s="74">
        <v>1026381.29</v>
      </c>
      <c r="S89" s="2">
        <v>0</v>
      </c>
      <c r="T89" s="74">
        <v>0</v>
      </c>
      <c r="U89" s="74" t="e">
        <f>#REF!*0.08</f>
        <v>#REF!</v>
      </c>
      <c r="V89" s="74" t="e">
        <f>#REF!*0.0214</f>
        <v>#REF!</v>
      </c>
      <c r="W89" s="74" t="e">
        <f>#REF!+U89+V89</f>
        <v>#REF!</v>
      </c>
      <c r="X89" s="68"/>
    </row>
    <row r="90" spans="1:24" x14ac:dyDescent="0.25">
      <c r="A90" s="3">
        <v>81</v>
      </c>
      <c r="B90" s="73" t="s">
        <v>84</v>
      </c>
      <c r="C90" s="35">
        <f t="shared" si="2"/>
        <v>2061153.2</v>
      </c>
      <c r="D90" s="35">
        <f>SUM(E90:J90)</f>
        <v>666563.94999999995</v>
      </c>
      <c r="E90" s="74">
        <v>0</v>
      </c>
      <c r="F90" s="74">
        <v>666563.94999999995</v>
      </c>
      <c r="G90" s="74">
        <v>0</v>
      </c>
      <c r="H90" s="74">
        <v>0</v>
      </c>
      <c r="I90" s="74">
        <v>0</v>
      </c>
      <c r="J90" s="74">
        <v>0</v>
      </c>
      <c r="K90" s="3">
        <v>0</v>
      </c>
      <c r="L90" s="76">
        <v>0</v>
      </c>
      <c r="M90" s="2">
        <v>0</v>
      </c>
      <c r="N90" s="74">
        <v>0</v>
      </c>
      <c r="O90" s="2">
        <v>0</v>
      </c>
      <c r="P90" s="74">
        <v>0</v>
      </c>
      <c r="Q90" s="2">
        <v>2506</v>
      </c>
      <c r="R90" s="74">
        <v>1394589.25</v>
      </c>
      <c r="S90" s="2">
        <v>0</v>
      </c>
      <c r="T90" s="74">
        <v>0</v>
      </c>
      <c r="U90" s="74" t="e">
        <f>#REF!*0.08</f>
        <v>#REF!</v>
      </c>
      <c r="V90" s="74" t="e">
        <f>#REF!*0.0214</f>
        <v>#REF!</v>
      </c>
      <c r="W90" s="74" t="e">
        <f>#REF!+U90+V90</f>
        <v>#REF!</v>
      </c>
      <c r="X90" s="68"/>
    </row>
    <row r="91" spans="1:24" x14ac:dyDescent="0.25">
      <c r="A91" s="3">
        <v>82</v>
      </c>
      <c r="B91" s="73" t="s">
        <v>125</v>
      </c>
      <c r="C91" s="35">
        <f t="shared" si="2"/>
        <v>644528.38</v>
      </c>
      <c r="D91" s="74">
        <v>0</v>
      </c>
      <c r="E91" s="74">
        <v>0</v>
      </c>
      <c r="F91" s="74">
        <v>0</v>
      </c>
      <c r="G91" s="74">
        <v>0</v>
      </c>
      <c r="H91" s="74">
        <v>0</v>
      </c>
      <c r="I91" s="74">
        <v>0</v>
      </c>
      <c r="J91" s="74">
        <v>0</v>
      </c>
      <c r="K91" s="3">
        <v>0</v>
      </c>
      <c r="L91" s="74">
        <v>0</v>
      </c>
      <c r="M91" s="2">
        <v>0</v>
      </c>
      <c r="N91" s="74">
        <v>0</v>
      </c>
      <c r="O91" s="2">
        <v>0</v>
      </c>
      <c r="P91" s="74">
        <v>0</v>
      </c>
      <c r="Q91" s="45">
        <v>1375</v>
      </c>
      <c r="R91" s="42">
        <v>644528.38</v>
      </c>
      <c r="S91" s="2">
        <v>0</v>
      </c>
      <c r="T91" s="74">
        <v>0</v>
      </c>
      <c r="U91" s="74"/>
      <c r="V91" s="74"/>
      <c r="W91" s="74"/>
      <c r="X91" s="68"/>
    </row>
    <row r="92" spans="1:24" x14ac:dyDescent="0.25">
      <c r="A92" s="3"/>
      <c r="B92" s="73" t="s">
        <v>154</v>
      </c>
      <c r="C92" s="37">
        <f t="shared" ref="C92:R92" si="3">SUM(C10:C91)</f>
        <v>113852285.36999999</v>
      </c>
      <c r="D92" s="37">
        <f t="shared" si="3"/>
        <v>14486776.129999999</v>
      </c>
      <c r="E92" s="37">
        <f t="shared" si="3"/>
        <v>4651024.1500000004</v>
      </c>
      <c r="F92" s="37">
        <f t="shared" si="3"/>
        <v>2894223.0700000003</v>
      </c>
      <c r="G92" s="37">
        <f t="shared" si="3"/>
        <v>2734196.31</v>
      </c>
      <c r="H92" s="37">
        <f t="shared" si="3"/>
        <v>1245495.42</v>
      </c>
      <c r="I92" s="37">
        <f t="shared" si="3"/>
        <v>2849409.92</v>
      </c>
      <c r="J92" s="37">
        <f t="shared" si="3"/>
        <v>112427.26</v>
      </c>
      <c r="K92" s="37">
        <f t="shared" si="3"/>
        <v>7</v>
      </c>
      <c r="L92" s="37">
        <f t="shared" si="3"/>
        <v>11200000</v>
      </c>
      <c r="M92" s="37">
        <f t="shared" si="3"/>
        <v>49041.700000000004</v>
      </c>
      <c r="N92" s="37">
        <f t="shared" si="3"/>
        <v>71546394.87000002</v>
      </c>
      <c r="O92" s="37">
        <f t="shared" si="3"/>
        <v>464</v>
      </c>
      <c r="P92" s="37">
        <f t="shared" si="3"/>
        <v>787922.59</v>
      </c>
      <c r="Q92" s="37">
        <f t="shared" si="3"/>
        <v>20216.7</v>
      </c>
      <c r="R92" s="37">
        <f t="shared" si="3"/>
        <v>15831191.780000003</v>
      </c>
      <c r="S92" s="80">
        <v>0</v>
      </c>
      <c r="T92" s="70">
        <v>0</v>
      </c>
      <c r="U92" s="37" t="e">
        <f>SUM(U10:U91)</f>
        <v>#REF!</v>
      </c>
      <c r="V92" s="37" t="e">
        <f>SUM(V10:V91)</f>
        <v>#REF!</v>
      </c>
      <c r="W92" s="37" t="e">
        <f>SUM(W10:W91)</f>
        <v>#REF!</v>
      </c>
      <c r="X92" s="37"/>
    </row>
    <row r="93" spans="1:24" x14ac:dyDescent="0.25">
      <c r="A93" s="81"/>
      <c r="B93" s="81"/>
      <c r="C93" s="82"/>
      <c r="D93" s="82"/>
      <c r="E93" s="83"/>
      <c r="F93" s="83"/>
      <c r="G93" s="83"/>
      <c r="H93" s="83"/>
      <c r="I93" s="83"/>
      <c r="J93" s="83"/>
      <c r="K93" s="81"/>
      <c r="L93" s="83"/>
      <c r="M93" s="84"/>
      <c r="N93" s="83"/>
      <c r="O93" s="84"/>
      <c r="P93" s="83"/>
      <c r="Q93" s="84"/>
      <c r="R93" s="83"/>
      <c r="S93" s="84"/>
      <c r="T93" s="83"/>
      <c r="U93" s="83"/>
      <c r="V93" s="83"/>
      <c r="W93" s="83"/>
      <c r="X93" s="85"/>
    </row>
    <row r="94" spans="1:24" x14ac:dyDescent="0.25">
      <c r="A94" s="86"/>
      <c r="B94" s="18"/>
      <c r="C94" s="18"/>
    </row>
    <row r="95" spans="1:24" ht="15.75" x14ac:dyDescent="0.25">
      <c r="A95" s="46"/>
      <c r="B95" s="46" t="s">
        <v>38</v>
      </c>
      <c r="C95" s="46"/>
      <c r="D95" s="47"/>
      <c r="E95" s="47"/>
      <c r="F95" s="47"/>
      <c r="G95" s="47"/>
      <c r="H95" s="47"/>
      <c r="I95" s="47"/>
      <c r="J95" s="47"/>
      <c r="K95" s="47"/>
      <c r="L95" s="48"/>
      <c r="M95" s="49"/>
      <c r="N95" s="48"/>
      <c r="O95" s="49"/>
      <c r="P95" s="50"/>
      <c r="Q95" s="49"/>
      <c r="R95" s="50"/>
      <c r="S95" s="49"/>
      <c r="T95" s="50"/>
      <c r="U95" s="49"/>
      <c r="V95" s="49"/>
      <c r="W95" s="87"/>
      <c r="X95" s="87"/>
    </row>
    <row r="96" spans="1:24" ht="15.75" x14ac:dyDescent="0.25">
      <c r="A96" s="46"/>
      <c r="B96" s="51" t="s">
        <v>39</v>
      </c>
      <c r="C96" s="52"/>
      <c r="D96" s="52"/>
      <c r="E96" s="52"/>
      <c r="F96" s="52"/>
      <c r="G96" s="52"/>
      <c r="H96" s="52"/>
      <c r="I96" s="52"/>
      <c r="J96" s="52" t="s">
        <v>32</v>
      </c>
      <c r="K96" s="52"/>
      <c r="L96" s="52"/>
      <c r="M96" s="52"/>
      <c r="O96" s="52"/>
      <c r="P96" s="52"/>
      <c r="Q96" s="52"/>
      <c r="R96" s="52"/>
      <c r="S96" s="52"/>
      <c r="T96" s="52"/>
      <c r="U96" s="52"/>
      <c r="V96" s="52"/>
      <c r="W96" s="87"/>
      <c r="X96" s="87"/>
    </row>
    <row r="97" spans="1:24" ht="15.75" x14ac:dyDescent="0.25">
      <c r="A97" s="46"/>
      <c r="B97" s="46"/>
      <c r="C97" s="46"/>
      <c r="D97" s="47"/>
      <c r="E97" s="47"/>
      <c r="F97" s="47"/>
      <c r="G97" s="47"/>
      <c r="H97" s="47"/>
      <c r="I97" s="47"/>
      <c r="J97" s="47"/>
      <c r="K97" s="47"/>
      <c r="L97" s="48"/>
      <c r="M97" s="49"/>
      <c r="N97" s="48"/>
      <c r="O97" s="49"/>
      <c r="P97" s="50"/>
      <c r="Q97" s="49"/>
      <c r="R97" s="50"/>
      <c r="S97" s="49"/>
      <c r="T97" s="50"/>
      <c r="U97" s="49"/>
      <c r="V97" s="49"/>
      <c r="W97" s="87"/>
      <c r="X97" s="87"/>
    </row>
    <row r="98" spans="1:24" ht="15.75" x14ac:dyDescent="0.25">
      <c r="A98" s="87"/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</row>
    <row r="99" spans="1:24" ht="15.75" x14ac:dyDescent="0.25">
      <c r="A99" s="87"/>
      <c r="B99" s="87"/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</row>
    <row r="100" spans="1:24" ht="15.75" x14ac:dyDescent="0.25">
      <c r="A100" s="87"/>
      <c r="B100" s="54" t="s">
        <v>33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 t="s">
        <v>33</v>
      </c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</row>
    <row r="101" spans="1:24" ht="15.75" x14ac:dyDescent="0.25">
      <c r="A101" s="87"/>
      <c r="B101" s="54" t="s">
        <v>34</v>
      </c>
      <c r="C101" s="54"/>
      <c r="D101" s="54"/>
      <c r="E101" s="54"/>
      <c r="F101" s="54"/>
      <c r="G101" s="54"/>
      <c r="H101" s="54"/>
      <c r="I101" s="54"/>
      <c r="J101" s="54"/>
      <c r="K101" s="54"/>
      <c r="L101" s="54" t="s">
        <v>123</v>
      </c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</row>
    <row r="102" spans="1:24" ht="15.75" x14ac:dyDescent="0.25">
      <c r="A102" s="87"/>
      <c r="B102" s="54" t="s">
        <v>128</v>
      </c>
      <c r="C102" s="54"/>
      <c r="D102" s="54"/>
      <c r="E102" s="54"/>
      <c r="F102" s="54"/>
      <c r="G102" s="54"/>
      <c r="H102" s="54"/>
      <c r="I102" s="54"/>
      <c r="J102" s="54"/>
      <c r="K102" s="54"/>
      <c r="L102" s="54" t="s">
        <v>155</v>
      </c>
      <c r="M102" s="87"/>
      <c r="N102" s="87"/>
      <c r="O102" s="87"/>
      <c r="P102" s="87"/>
      <c r="Q102" s="87"/>
      <c r="R102" s="87" t="s">
        <v>156</v>
      </c>
      <c r="S102" s="87"/>
      <c r="T102" s="87" t="s">
        <v>157</v>
      </c>
      <c r="U102" s="87"/>
      <c r="V102" s="87"/>
      <c r="W102" s="87"/>
      <c r="X102" s="87"/>
    </row>
    <row r="103" spans="1:24" ht="15.75" x14ac:dyDescent="0.25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</row>
  </sheetData>
  <mergeCells count="16">
    <mergeCell ref="A9:X9"/>
    <mergeCell ref="A2:T2"/>
    <mergeCell ref="A3:A5"/>
    <mergeCell ref="B3:B5"/>
    <mergeCell ref="C3:C4"/>
    <mergeCell ref="D3:J3"/>
    <mergeCell ref="K3:L4"/>
    <mergeCell ref="M3:N4"/>
    <mergeCell ref="O3:P4"/>
    <mergeCell ref="Q3:R4"/>
    <mergeCell ref="A7:B7"/>
    <mergeCell ref="A8:T8"/>
    <mergeCell ref="S3:T4"/>
    <mergeCell ref="U3:U4"/>
    <mergeCell ref="V3:V4"/>
    <mergeCell ref="X3:X4"/>
  </mergeCells>
  <phoneticPr fontId="8" type="noConversion"/>
  <pageMargins left="0.22" right="0.7" top="0.34" bottom="0.75" header="0.3" footer="0.3"/>
  <pageSetup paperSize="9" scale="48" orientation="landscape" r:id="rId1"/>
  <rowBreaks count="1" manualBreakCount="1"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zoomScale="85" zoomScaleNormal="85" workbookViewId="0">
      <selection activeCell="S7" sqref="S7"/>
    </sheetView>
  </sheetViews>
  <sheetFormatPr defaultRowHeight="15" x14ac:dyDescent="0.25"/>
  <cols>
    <col min="2" max="2" width="17.85546875" customWidth="1"/>
    <col min="12" max="13" width="13.85546875" bestFit="1" customWidth="1"/>
  </cols>
  <sheetData>
    <row r="1" spans="1:26" x14ac:dyDescent="0.25">
      <c r="E1" s="88"/>
      <c r="F1" s="88"/>
      <c r="G1" s="88"/>
      <c r="H1" s="88"/>
      <c r="I1" s="88"/>
      <c r="J1" s="88"/>
      <c r="K1" s="88"/>
      <c r="L1" s="88"/>
      <c r="M1" s="88"/>
    </row>
    <row r="2" spans="1:26" ht="15.75" x14ac:dyDescent="0.25">
      <c r="A2" s="140" t="s">
        <v>158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26" ht="34.5" customHeight="1" x14ac:dyDescent="0.25">
      <c r="A3" s="141"/>
      <c r="B3" s="141" t="s">
        <v>159</v>
      </c>
      <c r="C3" s="141" t="s">
        <v>7</v>
      </c>
      <c r="D3" s="141" t="s">
        <v>160</v>
      </c>
      <c r="E3" s="141"/>
      <c r="F3" s="141"/>
      <c r="G3" s="141"/>
      <c r="H3" s="141"/>
      <c r="I3" s="141" t="s">
        <v>8</v>
      </c>
      <c r="J3" s="141"/>
      <c r="K3" s="141"/>
      <c r="L3" s="141"/>
      <c r="M3" s="141"/>
    </row>
    <row r="4" spans="1:26" ht="45.75" customHeight="1" x14ac:dyDescent="0.25">
      <c r="A4" s="141"/>
      <c r="B4" s="141"/>
      <c r="C4" s="141"/>
      <c r="D4" s="89" t="s">
        <v>161</v>
      </c>
      <c r="E4" s="89" t="s">
        <v>162</v>
      </c>
      <c r="F4" s="89" t="s">
        <v>163</v>
      </c>
      <c r="G4" s="89" t="s">
        <v>164</v>
      </c>
      <c r="H4" s="89" t="s">
        <v>14</v>
      </c>
      <c r="I4" s="89" t="s">
        <v>161</v>
      </c>
      <c r="J4" s="89" t="s">
        <v>162</v>
      </c>
      <c r="K4" s="89" t="s">
        <v>163</v>
      </c>
      <c r="L4" s="89" t="s">
        <v>164</v>
      </c>
      <c r="M4" s="89" t="s">
        <v>14</v>
      </c>
    </row>
    <row r="5" spans="1:26" ht="16.5" customHeight="1" x14ac:dyDescent="0.25">
      <c r="A5" s="141"/>
      <c r="B5" s="89" t="s">
        <v>150</v>
      </c>
      <c r="C5" s="90" t="s">
        <v>21</v>
      </c>
      <c r="D5" s="90" t="s">
        <v>149</v>
      </c>
      <c r="E5" s="90" t="s">
        <v>149</v>
      </c>
      <c r="F5" s="90" t="s">
        <v>149</v>
      </c>
      <c r="G5" s="90" t="s">
        <v>149</v>
      </c>
      <c r="H5" s="90" t="s">
        <v>149</v>
      </c>
      <c r="I5" s="90" t="s">
        <v>22</v>
      </c>
      <c r="J5" s="90" t="s">
        <v>22</v>
      </c>
      <c r="K5" s="90" t="s">
        <v>22</v>
      </c>
      <c r="L5" s="90" t="s">
        <v>22</v>
      </c>
      <c r="M5" s="90" t="s">
        <v>22</v>
      </c>
    </row>
    <row r="6" spans="1:26" x14ac:dyDescent="0.25">
      <c r="A6" s="90">
        <v>1</v>
      </c>
      <c r="B6" s="90">
        <v>2</v>
      </c>
      <c r="C6" s="90">
        <v>3</v>
      </c>
      <c r="D6" s="90">
        <v>4</v>
      </c>
      <c r="E6" s="90">
        <v>5</v>
      </c>
      <c r="F6" s="90">
        <v>6</v>
      </c>
      <c r="G6" s="90">
        <v>7</v>
      </c>
      <c r="H6" s="90">
        <v>8</v>
      </c>
      <c r="I6" s="90">
        <v>9</v>
      </c>
      <c r="J6" s="90">
        <v>10</v>
      </c>
      <c r="K6" s="90">
        <v>11</v>
      </c>
      <c r="L6" s="90">
        <v>12</v>
      </c>
      <c r="M6" s="90">
        <v>13</v>
      </c>
    </row>
    <row r="7" spans="1:26" ht="89.25" x14ac:dyDescent="0.25">
      <c r="A7" s="91" t="s">
        <v>127</v>
      </c>
      <c r="B7" s="92">
        <v>266407</v>
      </c>
      <c r="C7" s="90">
        <v>10341</v>
      </c>
      <c r="D7" s="90">
        <v>0</v>
      </c>
      <c r="E7" s="90">
        <v>0</v>
      </c>
      <c r="F7" s="90">
        <v>0</v>
      </c>
      <c r="G7" s="90">
        <v>83</v>
      </c>
      <c r="H7" s="90">
        <v>83</v>
      </c>
      <c r="I7" s="90">
        <v>0</v>
      </c>
      <c r="J7" s="93">
        <v>0</v>
      </c>
      <c r="K7" s="93">
        <v>0</v>
      </c>
      <c r="L7" s="93">
        <v>113852285.37</v>
      </c>
      <c r="M7" s="93">
        <v>113852285.37</v>
      </c>
    </row>
    <row r="8" spans="1:26" x14ac:dyDescent="0.25">
      <c r="A8" s="90">
        <v>2015</v>
      </c>
      <c r="B8" s="94">
        <f>B7</f>
        <v>266407</v>
      </c>
      <c r="C8" s="90">
        <v>10341</v>
      </c>
      <c r="D8" s="95">
        <v>0</v>
      </c>
      <c r="E8" s="95">
        <v>0</v>
      </c>
      <c r="F8" s="95">
        <v>0</v>
      </c>
      <c r="G8" s="90">
        <v>83</v>
      </c>
      <c r="H8" s="90">
        <v>83</v>
      </c>
      <c r="I8" s="95">
        <v>0</v>
      </c>
      <c r="J8" s="93">
        <v>0</v>
      </c>
      <c r="K8" s="93">
        <v>0</v>
      </c>
      <c r="L8" s="93">
        <v>113852285.37</v>
      </c>
      <c r="M8" s="93">
        <v>113852285.37</v>
      </c>
    </row>
    <row r="9" spans="1:26" x14ac:dyDescent="0.25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7"/>
      <c r="M9" s="34"/>
    </row>
    <row r="10" spans="1:26" x14ac:dyDescent="0.25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7"/>
      <c r="M10" s="97"/>
    </row>
    <row r="11" spans="1:26" s="98" customFormat="1" ht="21" x14ac:dyDescent="0.35">
      <c r="A11" s="46" t="s">
        <v>165</v>
      </c>
      <c r="B11" s="46"/>
      <c r="C11" s="47"/>
      <c r="D11" s="47"/>
      <c r="E11" s="47"/>
      <c r="F11" s="47"/>
      <c r="G11" s="47"/>
      <c r="H11" s="47"/>
      <c r="I11" s="47"/>
      <c r="J11" s="47"/>
      <c r="L11" s="48"/>
      <c r="M11" s="49"/>
      <c r="N11" s="99"/>
      <c r="O11" s="100"/>
      <c r="P11" s="101"/>
      <c r="Q11" s="100"/>
      <c r="R11" s="101"/>
      <c r="S11" s="100"/>
      <c r="T11" s="101"/>
      <c r="U11" s="100"/>
      <c r="V11" s="100"/>
      <c r="W11" s="100"/>
      <c r="X11" s="100"/>
      <c r="Y11" s="100"/>
    </row>
    <row r="12" spans="1:26" s="98" customFormat="1" ht="21" x14ac:dyDescent="0.35">
      <c r="A12" s="51" t="s">
        <v>166</v>
      </c>
      <c r="B12" s="52"/>
      <c r="C12" s="52"/>
      <c r="D12" s="52"/>
      <c r="E12" s="52"/>
      <c r="F12" s="52"/>
      <c r="G12" s="52"/>
      <c r="H12" s="52"/>
      <c r="I12" s="52"/>
      <c r="J12" s="52" t="s">
        <v>32</v>
      </c>
      <c r="L12" s="52"/>
      <c r="M12" s="52"/>
      <c r="N12" s="102"/>
      <c r="O12" s="102"/>
      <c r="P12" s="102"/>
      <c r="Q12" s="102"/>
      <c r="R12" s="102"/>
      <c r="S12" s="102"/>
      <c r="T12" s="102"/>
      <c r="U12" s="102"/>
      <c r="V12" s="102"/>
      <c r="W12" s="103"/>
      <c r="X12" s="103"/>
      <c r="Y12" s="103"/>
      <c r="Z12" s="103"/>
    </row>
    <row r="13" spans="1:26" s="98" customFormat="1" ht="21" x14ac:dyDescent="0.35">
      <c r="A13" s="104"/>
      <c r="B13" s="46"/>
      <c r="C13" s="46"/>
      <c r="D13" s="47"/>
      <c r="E13" s="47"/>
      <c r="F13" s="47"/>
      <c r="G13" s="47"/>
      <c r="H13" s="47"/>
      <c r="I13" s="47"/>
      <c r="J13" s="47"/>
      <c r="K13" s="47"/>
      <c r="L13" s="48"/>
      <c r="M13" s="49"/>
      <c r="N13" s="99"/>
      <c r="O13" s="100"/>
      <c r="P13" s="101"/>
      <c r="Q13" s="100"/>
      <c r="R13" s="101"/>
      <c r="S13" s="100"/>
      <c r="T13" s="101"/>
      <c r="U13" s="100"/>
      <c r="V13" s="100"/>
      <c r="W13" s="100"/>
      <c r="X13" s="100"/>
      <c r="Y13" s="100"/>
    </row>
    <row r="14" spans="1:26" s="98" customFormat="1" ht="21" x14ac:dyDescent="0.35">
      <c r="A14" s="105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102"/>
      <c r="O14" s="102"/>
      <c r="P14" s="102"/>
      <c r="Q14" s="102"/>
      <c r="R14" s="102"/>
      <c r="S14" s="102"/>
      <c r="T14" s="102"/>
      <c r="U14" s="102"/>
      <c r="V14" s="102"/>
      <c r="W14" s="103"/>
      <c r="X14" s="103"/>
      <c r="Y14" s="103"/>
      <c r="Z14" s="103"/>
    </row>
    <row r="15" spans="1:26" s="98" customFormat="1" ht="21" x14ac:dyDescent="0.35">
      <c r="A15" s="54" t="s">
        <v>33</v>
      </c>
      <c r="B15" s="106"/>
      <c r="C15" s="106"/>
      <c r="D15" s="106"/>
      <c r="E15" s="106"/>
      <c r="F15" s="106"/>
      <c r="G15" s="106"/>
      <c r="H15" s="106"/>
      <c r="I15" s="106"/>
      <c r="J15" s="54" t="s">
        <v>33</v>
      </c>
      <c r="K15" s="53"/>
      <c r="L15" s="53"/>
      <c r="M15" s="53"/>
      <c r="N15" s="53"/>
      <c r="O15" s="53"/>
      <c r="P15" s="53"/>
      <c r="Q15" s="53"/>
      <c r="R15" s="53"/>
      <c r="S15" s="107"/>
      <c r="T15" s="105"/>
      <c r="U15" s="107"/>
      <c r="V15" s="105"/>
    </row>
    <row r="16" spans="1:26" s="98" customFormat="1" ht="21" x14ac:dyDescent="0.35">
      <c r="A16" s="54" t="s">
        <v>34</v>
      </c>
      <c r="B16" s="108"/>
      <c r="C16" s="52"/>
      <c r="D16" s="52"/>
      <c r="E16" s="52"/>
      <c r="F16" s="52"/>
      <c r="G16" s="52"/>
      <c r="H16" s="52"/>
      <c r="I16" s="52"/>
      <c r="J16" s="54" t="s">
        <v>123</v>
      </c>
      <c r="K16" s="53"/>
      <c r="L16" s="53"/>
      <c r="M16" s="53"/>
      <c r="N16" s="53"/>
      <c r="O16" s="53"/>
      <c r="P16" s="53"/>
      <c r="Q16" s="53"/>
      <c r="R16" s="53"/>
      <c r="S16" s="102"/>
      <c r="T16" s="102"/>
      <c r="U16" s="102"/>
      <c r="V16" s="102"/>
      <c r="W16" s="103"/>
      <c r="X16" s="103"/>
      <c r="Y16" s="103"/>
      <c r="Z16" s="103"/>
    </row>
    <row r="17" spans="1:22" ht="26.25" x14ac:dyDescent="0.4">
      <c r="A17" s="52" t="s">
        <v>167</v>
      </c>
      <c r="B17" s="109"/>
      <c r="C17" s="109"/>
      <c r="D17" s="109"/>
      <c r="E17" s="109"/>
      <c r="F17" s="109"/>
      <c r="G17" s="109"/>
      <c r="H17" s="109"/>
      <c r="I17" s="109"/>
      <c r="J17" s="54" t="s">
        <v>124</v>
      </c>
      <c r="K17" s="53"/>
      <c r="L17" s="53"/>
      <c r="M17" s="53"/>
      <c r="N17" s="53"/>
      <c r="O17" s="53"/>
      <c r="P17" s="53"/>
      <c r="Q17" s="53"/>
      <c r="R17" s="87"/>
      <c r="S17" s="110"/>
      <c r="T17" s="110"/>
      <c r="U17" s="110"/>
      <c r="V17" s="110"/>
    </row>
    <row r="18" spans="1:22" ht="15.75" x14ac:dyDescent="0.25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</row>
    <row r="19" spans="1:22" ht="15.75" x14ac:dyDescent="0.25"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</row>
    <row r="20" spans="1:22" ht="15.75" x14ac:dyDescent="0.25">
      <c r="L20" s="106"/>
      <c r="M20" s="106"/>
      <c r="N20" s="106"/>
      <c r="O20" s="106"/>
      <c r="P20" s="106"/>
    </row>
  </sheetData>
  <mergeCells count="6">
    <mergeCell ref="A2:M2"/>
    <mergeCell ref="A3:A5"/>
    <mergeCell ref="B3:B4"/>
    <mergeCell ref="C3:C4"/>
    <mergeCell ref="D3:H3"/>
    <mergeCell ref="I3:M3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Часть 1</vt:lpstr>
      <vt:lpstr>Часть 2</vt:lpstr>
      <vt:lpstr>Часть 3</vt:lpstr>
      <vt:lpstr>'Часть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Геннадьевна Мунина</dc:creator>
  <cp:lastModifiedBy>Кристина А. Храпова</cp:lastModifiedBy>
  <cp:lastPrinted>2015-07-09T13:18:12Z</cp:lastPrinted>
  <dcterms:created xsi:type="dcterms:W3CDTF">2014-05-06T05:36:05Z</dcterms:created>
  <dcterms:modified xsi:type="dcterms:W3CDTF">2015-07-13T09:04:35Z</dcterms:modified>
</cp:coreProperties>
</file>